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 activeTab="3"/>
  </bookViews>
  <sheets>
    <sheet name="QUADRO RESUMO" sheetId="1" r:id="rId1"/>
    <sheet name="COZINHEIRO 44H (TERESINA)" sheetId="12" r:id="rId2"/>
    <sheet name="AUX. DE COZINHA 44H (TERESINA)" sheetId="14" r:id="rId3"/>
    <sheet name="AUX. ALMOXARIFE 44H (TERESINA)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2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3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sharedStrings.xml><?xml version="1.0" encoding="utf-8"?>
<sst xmlns="http://schemas.openxmlformats.org/spreadsheetml/2006/main" count="823" uniqueCount="206">
  <si>
    <t>QUADRO RESUMO</t>
  </si>
  <si>
    <t>GRUPO 01 - CMPP / TERESINA-PI</t>
  </si>
  <si>
    <t>ITEM</t>
  </si>
  <si>
    <t>CARGO</t>
  </si>
  <si>
    <t>CBO</t>
  </si>
  <si>
    <t>UNIDADE DE FORNECIMENTO</t>
  </si>
  <si>
    <t>QT. TOTAL</t>
  </si>
  <si>
    <t>VALOR UNITÁRIO MENSAL</t>
  </si>
  <si>
    <t>VALOR UNITÁRIO ANUAL</t>
  </si>
  <si>
    <t>VALOR TOTAL  ANUAL</t>
  </si>
  <si>
    <t>COZINHEIRO 44H (20% INSALUBRIDADE) *</t>
  </si>
  <si>
    <t>POSTO</t>
  </si>
  <si>
    <t>AUXILIAR DE COZINHA 44H (20% INSALUBRIDADE) *</t>
  </si>
  <si>
    <t>AUXILIAR DE ALMOXARIFE 44H (20% INSALUBRIDADE) *</t>
  </si>
  <si>
    <t>4141-05</t>
  </si>
  <si>
    <t>VALOR TOTAL DO GRUPO 01</t>
  </si>
  <si>
    <t xml:space="preserve"> OBSERVAÇÃO: * Segundo o MTE a caracterização e classificação da insalubridade e da periculosidade, devem ser feitas através de perícia do Médico ou Engenheiro do Trabalho. (Art. 195 CLT).</t>
  </si>
  <si>
    <t>PLANILHAS DO GRUPO 01 - CMPP / TERESINA</t>
  </si>
  <si>
    <t>Categoria profissional: COZINHEIRO - 44 HORAS</t>
  </si>
  <si>
    <t>EXEQUIBILIDADE</t>
  </si>
  <si>
    <t>Nº do Processo</t>
  </si>
  <si>
    <t>23111.011048/2024-30</t>
  </si>
  <si>
    <t>Discriminação dos Serviços</t>
  </si>
  <si>
    <t>A</t>
  </si>
  <si>
    <t>Data de apresentação da proposta</t>
  </si>
  <si>
    <t>ETAPA I</t>
  </si>
  <si>
    <t>B</t>
  </si>
  <si>
    <t>Município</t>
  </si>
  <si>
    <t>TERESINA-PI</t>
  </si>
  <si>
    <t>CUSTOS OBRIGATÓRIOS (C.O.)</t>
  </si>
  <si>
    <t>C</t>
  </si>
  <si>
    <t>Ano do Acordo, Convenção ou Dissídio Coletivo</t>
  </si>
  <si>
    <t>PI000048/2024</t>
  </si>
  <si>
    <t>TOTAL ETAPA I</t>
  </si>
  <si>
    <t>D</t>
  </si>
  <si>
    <t>Nº de meses de execução contratual</t>
  </si>
  <si>
    <t>ETAPA II</t>
  </si>
  <si>
    <t>Identificação do Serviço</t>
  </si>
  <si>
    <t>RETENÇÕES, DEDUÇÕES E AMORTIZAÇÕES</t>
  </si>
  <si>
    <t>Tipo de Serviço</t>
  </si>
  <si>
    <t>Unidade de Medida</t>
  </si>
  <si>
    <t>Quantidade estimada a contratar (em função da unidade de medida)</t>
  </si>
  <si>
    <t xml:space="preserve">INSS </t>
  </si>
  <si>
    <t>COZINHEIRO</t>
  </si>
  <si>
    <t>VALE ALIMENTAÇÃO</t>
  </si>
  <si>
    <t>Dados para composição dos custos referentes à mão-de-obra</t>
  </si>
  <si>
    <t xml:space="preserve">INSUMOS </t>
  </si>
  <si>
    <t>Tipo de serviço (mesmo serviço com características distintas)</t>
  </si>
  <si>
    <t>Vale transporte</t>
  </si>
  <si>
    <t>Classificação Brasileira de Ocupações (CBO)</t>
  </si>
  <si>
    <t>5132-05</t>
  </si>
  <si>
    <t>TOTAL DAS DEDUÇÕES</t>
  </si>
  <si>
    <t>Salário Nominativo da Categoria Profissional</t>
  </si>
  <si>
    <t>VALOR TOTAL EMPREG.</t>
  </si>
  <si>
    <t>Categoria profissional (vinculada à execução contratual)</t>
  </si>
  <si>
    <t>SINDICATO DAS EMPRESAS DE ASSEIO E CONSERVACAO DO ESTADO DO PIAUI</t>
  </si>
  <si>
    <t>VALOR INCIDÊNCIA 11% INSS</t>
  </si>
  <si>
    <t>Data base da categoria (dia/mês/ano)</t>
  </si>
  <si>
    <t>1º janeiro de 2024</t>
  </si>
  <si>
    <t>Total</t>
  </si>
  <si>
    <t xml:space="preserve">IRPJ </t>
  </si>
  <si>
    <t>MÓDULO 1 - COMPOSIÇÃO DA REMUNERAÇÃO</t>
  </si>
  <si>
    <t>IN 1234/12 - CÓD. 6147: 1,2%</t>
  </si>
  <si>
    <t>COMPOSIÇÃO DA REMUNERAÇÃO</t>
  </si>
  <si>
    <t>%</t>
  </si>
  <si>
    <t>VALOR (R$)</t>
  </si>
  <si>
    <t>IN 1234/12 - 6170: 4,8%</t>
  </si>
  <si>
    <t>Salário Base</t>
  </si>
  <si>
    <t>VALOR TOTAL EMPREG. (1,2%)</t>
  </si>
  <si>
    <t>Adicional Periculosidade</t>
  </si>
  <si>
    <r>
      <rPr>
        <b/>
        <sz val="12"/>
        <rFont val="Calibri"/>
        <charset val="134"/>
      </rPr>
      <t xml:space="preserve">Total </t>
    </r>
    <r>
      <rPr>
        <b/>
        <sz val="12"/>
        <color rgb="FFFF0000"/>
        <rFont val="Calibri"/>
        <charset val="134"/>
      </rPr>
      <t>(1,2%)</t>
    </r>
  </si>
  <si>
    <t>Adicional Insalubridade</t>
  </si>
  <si>
    <t>CSLL</t>
  </si>
  <si>
    <t>Adicional Noturno</t>
  </si>
  <si>
    <t>E</t>
  </si>
  <si>
    <t>Adicional de Hora Noturna Reduzida</t>
  </si>
  <si>
    <t>F</t>
  </si>
  <si>
    <t>Outros (especificar)</t>
  </si>
  <si>
    <t>COFINS</t>
  </si>
  <si>
    <t>TOTAL DO MÓDULO 1</t>
  </si>
  <si>
    <t>MÓDULO 2 – ENCARGOS E BENEFÍCIOS ANUAIS, MENSAIS E DIÁRIOS</t>
  </si>
  <si>
    <t>PIS/PASEP</t>
  </si>
  <si>
    <t>Submódulo 2.1 - 13º Salário, Férias e Adicional de Férias</t>
  </si>
  <si>
    <t>13 (Décimo-terceiro) salário</t>
  </si>
  <si>
    <t>Férias e Abono de Férias</t>
  </si>
  <si>
    <t>ISSQN ( 2% a 5%) vide planilha</t>
  </si>
  <si>
    <t>TOTAL SUBMÓDULO 2.1</t>
  </si>
  <si>
    <r>
      <rPr>
        <b/>
        <sz val="10"/>
        <color theme="1"/>
        <rFont val="Arial"/>
        <charset val="134"/>
      </rPr>
      <t xml:space="preserve">BASE DE CÁLCULO PARA O SUBMÓDULO 2.2 </t>
    </r>
    <r>
      <rPr>
        <sz val="10"/>
        <color theme="1"/>
        <rFont val="Arial"/>
        <charset val="134"/>
      </rPr>
      <t>(MÓDULO 1 + SUBMÓDULO 2.1)</t>
    </r>
  </si>
  <si>
    <t>MÓDULO 1</t>
  </si>
  <si>
    <t>SUBMÓDULO 2.1</t>
  </si>
  <si>
    <t>TOTAL - ETAPA II</t>
  </si>
  <si>
    <t>TOTAL</t>
  </si>
  <si>
    <t>Submódulo 2.2 - GPS, FGTS e Outras Contribuições</t>
  </si>
  <si>
    <r>
      <rPr>
        <b/>
        <sz val="12"/>
        <color rgb="FF0033CC"/>
        <rFont val="Calibri"/>
        <charset val="134"/>
      </rPr>
      <t>ETAPA I + ETAPA II (</t>
    </r>
    <r>
      <rPr>
        <b/>
        <sz val="12"/>
        <color rgb="FFFF0000"/>
        <rFont val="Calibri"/>
        <charset val="134"/>
      </rPr>
      <t>TOTAL "E1E2"</t>
    </r>
    <r>
      <rPr>
        <b/>
        <sz val="12"/>
        <color rgb="FF0033CC"/>
        <rFont val="Calibri"/>
        <charset val="134"/>
      </rPr>
      <t>)</t>
    </r>
  </si>
  <si>
    <t>INSS</t>
  </si>
  <si>
    <t>RETENÇÃO 11% - IN 2110/22</t>
  </si>
  <si>
    <t>TOTAL: CUSTOS OBRIGATÓRIOS + RETENÇÕES</t>
  </si>
  <si>
    <t>Salário Educação</t>
  </si>
  <si>
    <t>SAT (Seguro Acidente de Trabalho)</t>
  </si>
  <si>
    <t>SESC ou SESI</t>
  </si>
  <si>
    <t>SENAI - SENAC</t>
  </si>
  <si>
    <t>SEBRAE</t>
  </si>
  <si>
    <t>G</t>
  </si>
  <si>
    <t>INCRA</t>
  </si>
  <si>
    <t>H</t>
  </si>
  <si>
    <t>FGTS</t>
  </si>
  <si>
    <t xml:space="preserve">ETAPA III </t>
  </si>
  <si>
    <t>TOTAL SUBMÓDULO 2.2</t>
  </si>
  <si>
    <t>DEMONSTRAÇÃO DA EXEQUIBILIDADE</t>
  </si>
  <si>
    <t>Nº DE POSTOS DO CONTRATO</t>
  </si>
  <si>
    <t>Submódulo 2.3 - Benefícios Mensais e Diários</t>
  </si>
  <si>
    <r>
      <rPr>
        <b/>
        <sz val="12"/>
        <rFont val="Calibri"/>
        <charset val="134"/>
      </rPr>
      <t>TOTAL POR POSTO "</t>
    </r>
    <r>
      <rPr>
        <b/>
        <sz val="12"/>
        <color rgb="FFFF0000"/>
        <rFont val="Calibri"/>
        <charset val="134"/>
      </rPr>
      <t>E1E2</t>
    </r>
    <r>
      <rPr>
        <b/>
        <sz val="12"/>
        <rFont val="Calibri"/>
        <charset val="134"/>
      </rPr>
      <t xml:space="preserve">": </t>
    </r>
    <r>
      <rPr>
        <i/>
        <sz val="12"/>
        <color rgb="FFFF0000"/>
        <rFont val="Calibri"/>
        <charset val="134"/>
      </rPr>
      <t>(CUSTO HOMEM/MÊS) -</t>
    </r>
    <r>
      <rPr>
        <b/>
        <sz val="12"/>
        <rFont val="Calibri"/>
        <charset val="134"/>
      </rPr>
      <t xml:space="preserve"> </t>
    </r>
    <r>
      <rPr>
        <i/>
        <sz val="12"/>
        <color rgb="FFFF0000"/>
        <rFont val="Calibri"/>
        <charset val="134"/>
      </rPr>
      <t>(C.O. + RETENÇÕES)</t>
    </r>
  </si>
  <si>
    <t>Transporte</t>
  </si>
  <si>
    <t>Auxílio-Refeição/Alimentação</t>
  </si>
  <si>
    <t>-</t>
  </si>
  <si>
    <t>Assistência Médica e Familiar</t>
  </si>
  <si>
    <t>VALOR MENSAL DO CONTRATO</t>
  </si>
  <si>
    <t>Seguro de vida</t>
  </si>
  <si>
    <r>
      <rPr>
        <b/>
        <sz val="12"/>
        <rFont val="Calibri"/>
        <charset val="134"/>
      </rPr>
      <t>TOTAL MENSAL "</t>
    </r>
    <r>
      <rPr>
        <b/>
        <sz val="12"/>
        <color rgb="FFFF0000"/>
        <rFont val="Calibri"/>
        <charset val="134"/>
      </rPr>
      <t>E1+E2</t>
    </r>
    <r>
      <rPr>
        <b/>
        <sz val="12"/>
        <rFont val="Calibri"/>
        <charset val="134"/>
      </rPr>
      <t>"</t>
    </r>
  </si>
  <si>
    <t>TOTAL SUBMÓDULO 2.3</t>
  </si>
  <si>
    <t>SALDO DA EXEQUIBILIDADE</t>
  </si>
  <si>
    <t>DEMAIS CUSTOS (MÓDULO 3, EXCETO ALÍNEA "E"; MÓDULO 4; MÓDULO 5; CUSTOS INDIRETOS)</t>
  </si>
  <si>
    <t>QUADRO-RESUMO DO MÓDULO 2 - ENCARGOS, BENEFÍCIOS ANUAIS, MENSAIS E DIÁRIOS</t>
  </si>
  <si>
    <t>SALDO FINAL (MENSAL POR EMPREGADO)</t>
  </si>
  <si>
    <t>Módulo 2 - Encargos, Benefícios Anuais, Mensais e Diários</t>
  </si>
  <si>
    <t>SALDO DE EXEQUIBILIDADE MENSAL DOS EMPREGADO</t>
  </si>
  <si>
    <t>2.1</t>
  </si>
  <si>
    <t>13º Salário, Férias e Adicional de Férias</t>
  </si>
  <si>
    <t>SALDO DE EXEQUIBILIDADE ANUAL TOTAL</t>
  </si>
  <si>
    <t>2.2</t>
  </si>
  <si>
    <t>GPS, FGTS e Outras Contribuições</t>
  </si>
  <si>
    <r>
      <rPr>
        <b/>
        <sz val="12"/>
        <rFont val="Calibri"/>
        <charset val="134"/>
      </rPr>
      <t>O "</t>
    </r>
    <r>
      <rPr>
        <b/>
        <sz val="12"/>
        <color rgb="FFFF0000"/>
        <rFont val="Calibri"/>
        <charset val="134"/>
      </rPr>
      <t>SALDO DA EXEQUIBILIDADE</t>
    </r>
    <r>
      <rPr>
        <b/>
        <sz val="12"/>
        <rFont val="Calibri"/>
        <charset val="134"/>
      </rPr>
      <t xml:space="preserve">" REPRESENTA O VALOR RESTANTE DA PLANILHA QUE NÃO FOI CONTABILIZADO PELOS CUSTOS OBRIGATÓRIOS (ETAPA I) E PELAS RETENÇÕES TRIBUTÁRIAS (ETAPA II). O LICITANTE TERÁ QUE  COMPROVAR QUE O "SALDO DA EXEQUIBILIDADE" SERÁ </t>
    </r>
    <r>
      <rPr>
        <b/>
        <sz val="12"/>
        <color rgb="FFFF0000"/>
        <rFont val="Calibri"/>
        <charset val="134"/>
      </rPr>
      <t>SUFICIENTE PARA SUPRIR OS DEMAIS CUSTOS</t>
    </r>
    <r>
      <rPr>
        <b/>
        <sz val="12"/>
        <rFont val="Calibri"/>
        <charset val="134"/>
      </rPr>
      <t>.</t>
    </r>
  </si>
  <si>
    <t>2.3</t>
  </si>
  <si>
    <t>Benefícios Mensais e Diários</t>
  </si>
  <si>
    <t>TOTAL DO MÓDULO 2</t>
  </si>
  <si>
    <r>
      <rPr>
        <b/>
        <sz val="10"/>
        <color theme="1"/>
        <rFont val="Arial"/>
        <charset val="134"/>
      </rPr>
      <t xml:space="preserve">BASE DE CÁLCULO PARA O MÓDULO 3 </t>
    </r>
    <r>
      <rPr>
        <sz val="10"/>
        <color theme="1"/>
        <rFont val="Arial"/>
        <charset val="134"/>
      </rPr>
      <t>(MÓDULO 1 + MÓDULO 2)</t>
    </r>
  </si>
  <si>
    <t>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</si>
  <si>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</si>
  <si>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</si>
  <si>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</si>
  <si>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</si>
  <si>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Aviso Prévio Trabalhado</t>
  </si>
  <si>
    <t>Incidência dos encargos do submódulo 2.2 sobre Aviso Prévio Trabalhado</t>
  </si>
  <si>
    <t>Multa do FGTS sobre o Aviso Prévio Indenizado e sobre o Aviso Prévio Trabalhado</t>
  </si>
  <si>
    <t>TOTAL DO MÓDULO 3</t>
  </si>
  <si>
    <r>
      <rPr>
        <b/>
        <sz val="10"/>
        <color theme="1"/>
        <rFont val="Arial"/>
        <charset val="134"/>
      </rPr>
      <t xml:space="preserve">BASE DE CÁLCULO PARA O MÓDULO 4 </t>
    </r>
    <r>
      <rPr>
        <sz val="10"/>
        <color theme="1"/>
        <rFont val="Arial"/>
        <charset val="134"/>
      </rPr>
      <t>(MÓDULO 1 + MÓDULO 2 + MÓDULO 3)</t>
    </r>
  </si>
  <si>
    <t>MÓDULO 3</t>
  </si>
  <si>
    <t>MÓDULO 4 –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</si>
  <si>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</si>
  <si>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</si>
  <si>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</si>
  <si>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</si>
  <si>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</si>
  <si>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</si>
  <si>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</si>
  <si>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</si>
  <si>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</si>
  <si>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</si>
  <si>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</si>
  <si>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</si>
  <si>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</si>
  <si>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</si>
  <si>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</si>
  <si>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</si>
  <si>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</si>
  <si>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</si>
  <si>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</si>
  <si>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</si>
  <si>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Materiais</t>
  </si>
  <si>
    <t>EPIs</t>
  </si>
  <si>
    <t>Uniformes</t>
  </si>
  <si>
    <t>Equipamentos / Ferramentas</t>
  </si>
  <si>
    <t>TOTAL DO MÓDULO 5</t>
  </si>
  <si>
    <r>
      <rPr>
        <b/>
        <sz val="10"/>
        <color theme="1"/>
        <rFont val="Arial"/>
        <charset val="134"/>
      </rPr>
      <t xml:space="preserve">BASE DE CÁLCULO PARA O MÓDULO 6 </t>
    </r>
    <r>
      <rPr>
        <sz val="10"/>
        <color theme="1"/>
        <rFont val="Arial"/>
        <charset val="134"/>
      </rPr>
      <t>(MÓDULO 1 + MÓDULO 2 + MÓDULO 3 + MÓDULO 4 + MÓDULO 5)</t>
    </r>
  </si>
  <si>
    <t>MÓDULO 4</t>
  </si>
  <si>
    <t>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</si>
  <si>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</si>
  <si>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</si>
  <si>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</si>
  <si>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</si>
  <si>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</si>
  <si>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</si>
  <si>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</si>
  <si>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</si>
  <si>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</si>
  <si>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</si>
  <si>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</si>
  <si>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</si>
  <si>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</si>
  <si>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</si>
  <si>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</si>
  <si>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</si>
  <si>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</si>
  <si>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</si>
  <si>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</si>
  <si>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</si>
  <si>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</si>
  <si>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</si>
  <si>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Categoria profissional: AUXILIAR DE COZINHA - 44 HORAS</t>
  </si>
  <si>
    <t>AUX. DE COZINHA</t>
  </si>
  <si>
    <t>AUXILIAR DE COZINHA</t>
  </si>
  <si>
    <t>5135-05</t>
  </si>
  <si>
    <t>Categoria profissional: AUXILIAR DE ALMOXARIFE - 44 HORAS</t>
  </si>
  <si>
    <t>AUX. ALMOXARIFE</t>
  </si>
  <si>
    <t>AUXILIAR DE ALMOXARIFE</t>
  </si>
  <si>
    <t>4141-10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</si>
</sst>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[$R$-416]\ #,##0.00\ ;\-[$R$-416]\ #,##0.00\ ;[$R$-416]&quot; -&quot;00\ ;@\ "/>
    <numFmt numFmtId="181" formatCode="_-&quot;R$&quot;\ * #,##0.00_-;\-&quot;R$&quot;\ * #,##0.00_-;_-&quot;R$&quot;\ * &quot;-&quot;??_-;_-@"/>
    <numFmt numFmtId="182" formatCode="d/m/yyyy"/>
    <numFmt numFmtId="183" formatCode="&quot;R$&quot;\ #,##0.00_);[Red]\(&quot;R$&quot;\ #,###.00\)"/>
    <numFmt numFmtId="184" formatCode="0.00_);[Red]\(0.00\)"/>
    <numFmt numFmtId="185" formatCode="_-&quot;R$ &quot;* #,##0.00_-;&quot;-R$ &quot;* #,##0.00_-;_-&quot;R$ &quot;* \-??_-;_-@_-"/>
    <numFmt numFmtId="186" formatCode="0.000%"/>
    <numFmt numFmtId="187" formatCode="0.0000"/>
    <numFmt numFmtId="188" formatCode="0.00000"/>
    <numFmt numFmtId="189" formatCode="_-* #,##0.00_-;\-* #,##0.00_-;_-* \-??_-;_-@_-"/>
    <numFmt numFmtId="190" formatCode="0.000000_ "/>
    <numFmt numFmtId="191" formatCode="0.0000000_ "/>
    <numFmt numFmtId="192" formatCode="[$R$-416]\ #,##0.00;[Red]\-[$R$-416]\ #,##0.00"/>
  </numFmts>
  <fonts count="52"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1"/>
      <color rgb="FF000000"/>
      <name val="Calibri"/>
      <charset val="1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b/>
      <sz val="12"/>
      <name val="Calibri"/>
      <charset val="134"/>
    </font>
    <font>
      <sz val="12"/>
      <color theme="0"/>
      <name val="Calibri"/>
      <charset val="134"/>
    </font>
    <font>
      <b/>
      <sz val="12"/>
      <color rgb="FF0033CC"/>
      <name val="Calibri"/>
      <charset val="134"/>
    </font>
    <font>
      <b/>
      <sz val="12"/>
      <color rgb="FFFF0000"/>
      <name val="Calibri"/>
      <charset val="134"/>
    </font>
    <font>
      <sz val="12"/>
      <name val="Calibri"/>
      <charset val="134"/>
    </font>
    <font>
      <b/>
      <u/>
      <sz val="12"/>
      <name val="Calibri"/>
      <charset val="134"/>
    </font>
    <font>
      <b/>
      <sz val="12"/>
      <color rgb="FF000000"/>
      <name val="Calibri"/>
      <charset val="1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26"/>
      <color rgb="FFFF0000"/>
      <name val="Calibri"/>
      <charset val="134"/>
    </font>
    <font>
      <b/>
      <sz val="10"/>
      <color theme="1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b/>
      <sz val="12"/>
      <color rgb="FF000000"/>
      <name val="Arial"/>
      <charset val="134"/>
    </font>
    <font>
      <i/>
      <sz val="11"/>
      <color rgb="FF000000"/>
      <name val="Calibri"/>
      <charset val="134"/>
    </font>
    <font>
      <b/>
      <sz val="9"/>
      <color rgb="FF000000"/>
      <name val="Arial"/>
      <charset val="134"/>
    </font>
    <font>
      <sz val="11"/>
      <name val="Calibri"/>
      <charset val="134"/>
      <scheme val="minor"/>
    </font>
    <font>
      <sz val="9"/>
      <color rgb="FF000000"/>
      <name val="Arial"/>
      <charset val="134"/>
    </font>
    <font>
      <sz val="9"/>
      <color theme="1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2"/>
      <color rgb="FFFF0000"/>
      <name val="Calibri"/>
      <charset val="134"/>
    </font>
    <font>
      <sz val="9"/>
      <name val="Segoe UI"/>
      <charset val="134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2F0D9"/>
      </patternFill>
    </fill>
    <fill>
      <patternFill patternType="solid">
        <fgColor theme="6" tint="0.5999"/>
        <bgColor rgb="FFE2EFD9"/>
      </patternFill>
    </fill>
    <fill>
      <patternFill patternType="solid">
        <fgColor theme="9" tint="0.7999"/>
        <bgColor rgb="FFE2EFD9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theme="3" tint="0.5999"/>
        <bgColor rgb="FF808080"/>
      </patternFill>
    </fill>
    <fill>
      <patternFill patternType="solid">
        <fgColor rgb="FF9CC3E5"/>
        <bgColor rgb="FF9CC3E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800000"/>
      </top>
      <bottom style="thin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15" borderId="2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32" applyNumberFormat="0" applyAlignment="0" applyProtection="0">
      <alignment vertical="center"/>
    </xf>
    <xf numFmtId="0" fontId="40" fillId="17" borderId="33" applyNumberFormat="0" applyAlignment="0" applyProtection="0">
      <alignment vertical="center"/>
    </xf>
    <xf numFmtId="0" fontId="41" fillId="17" borderId="32" applyNumberFormat="0" applyAlignment="0" applyProtection="0">
      <alignment vertical="center"/>
    </xf>
    <xf numFmtId="0" fontId="42" fillId="18" borderId="34" applyNumberFormat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180" fontId="9" fillId="0" borderId="0" applyBorder="0" applyProtection="0"/>
  </cellStyleXfs>
  <cellXfs count="191">
    <xf numFmtId="0" fontId="0" fillId="0" borderId="0" xfId="0"/>
    <xf numFmtId="0" fontId="1" fillId="0" borderId="0" xfId="0" applyFont="1"/>
    <xf numFmtId="0" fontId="2" fillId="0" borderId="0" xfId="0" applyFont="1" applyAlignment="1" applyProtection="1"/>
    <xf numFmtId="0" fontId="3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8" xfId="0" applyFont="1" applyBorder="1"/>
    <xf numFmtId="0" fontId="6" fillId="0" borderId="9" xfId="0" applyFont="1" applyBorder="1" applyAlignment="1">
      <alignment horizontal="center" vertical="center"/>
    </xf>
    <xf numFmtId="0" fontId="4" fillId="0" borderId="10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0" fontId="3" fillId="5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10" fontId="6" fillId="0" borderId="6" xfId="0" applyNumberFormat="1" applyFont="1" applyBorder="1" applyAlignment="1">
      <alignment horizontal="center"/>
    </xf>
    <xf numFmtId="10" fontId="3" fillId="4" borderId="6" xfId="0" applyNumberFormat="1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3" fillId="6" borderId="2" xfId="0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4" fillId="0" borderId="13" xfId="0" applyFont="1" applyBorder="1"/>
    <xf numFmtId="0" fontId="4" fillId="0" borderId="14" xfId="0" applyFont="1" applyBorder="1"/>
    <xf numFmtId="10" fontId="6" fillId="2" borderId="6" xfId="0" applyNumberFormat="1" applyFont="1" applyFill="1" applyBorder="1" applyAlignment="1">
      <alignment horizontal="center"/>
    </xf>
    <xf numFmtId="0" fontId="6" fillId="7" borderId="2" xfId="0" applyFont="1" applyFill="1" applyBorder="1"/>
    <xf numFmtId="181" fontId="5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2" xfId="0" applyFont="1" applyBorder="1"/>
    <xf numFmtId="0" fontId="7" fillId="0" borderId="6" xfId="0" applyFont="1" applyBorder="1" applyAlignment="1">
      <alignment horizontal="center"/>
    </xf>
    <xf numFmtId="0" fontId="9" fillId="0" borderId="0" xfId="0" applyFont="1" applyAlignment="1" applyProtection="1"/>
    <xf numFmtId="0" fontId="10" fillId="8" borderId="0" xfId="0" applyFont="1" applyFill="1" applyAlignment="1" applyProtection="1"/>
    <xf numFmtId="0" fontId="11" fillId="9" borderId="0" xfId="0" applyFont="1" applyFill="1" applyBorder="1" applyAlignment="1" applyProtection="1">
      <alignment horizontal="center" vertical="center" textRotation="255"/>
    </xf>
    <xf numFmtId="0" fontId="4" fillId="0" borderId="15" xfId="0" applyFont="1" applyBorder="1"/>
    <xf numFmtId="0" fontId="3" fillId="0" borderId="5" xfId="0" applyFont="1" applyBorder="1" applyAlignment="1">
      <alignment horizontal="center"/>
    </xf>
    <xf numFmtId="0" fontId="12" fillId="8" borderId="0" xfId="0" applyFont="1" applyFill="1" applyBorder="1" applyAlignment="1" applyProtection="1">
      <alignment vertical="center"/>
    </xf>
    <xf numFmtId="182" fontId="6" fillId="0" borderId="6" xfId="0" applyNumberFormat="1" applyFont="1" applyBorder="1" applyAlignment="1">
      <alignment horizontal="center"/>
    </xf>
    <xf numFmtId="0" fontId="13" fillId="10" borderId="16" xfId="0" applyFont="1" applyFill="1" applyBorder="1" applyAlignment="1" applyProtection="1">
      <alignment vertical="center"/>
    </xf>
    <xf numFmtId="0" fontId="13" fillId="10" borderId="17" xfId="0" applyFont="1" applyFill="1" applyBorder="1" applyAlignment="1" applyProtection="1">
      <alignment vertical="center"/>
    </xf>
    <xf numFmtId="0" fontId="5" fillId="0" borderId="6" xfId="0" applyFont="1" applyBorder="1" applyAlignment="1">
      <alignment horizontal="center"/>
    </xf>
    <xf numFmtId="4" fontId="14" fillId="10" borderId="18" xfId="0" applyNumberFormat="1" applyFont="1" applyFill="1" applyBorder="1" applyAlignment="1" applyProtection="1">
      <alignment vertical="center"/>
    </xf>
    <xf numFmtId="4" fontId="14" fillId="10" borderId="19" xfId="0" applyNumberFormat="1" applyFont="1" applyFill="1" applyBorder="1" applyAlignment="1" applyProtection="1">
      <alignment vertical="center"/>
    </xf>
    <xf numFmtId="0" fontId="14" fillId="11" borderId="20" xfId="0" applyFont="1" applyFill="1" applyBorder="1" applyAlignment="1" applyProtection="1">
      <alignment horizontal="left" vertical="center"/>
    </xf>
    <xf numFmtId="4" fontId="14" fillId="11" borderId="20" xfId="0" applyNumberFormat="1" applyFont="1" applyFill="1" applyBorder="1" applyAlignment="1" applyProtection="1">
      <alignment horizontal="center" vertical="center"/>
    </xf>
    <xf numFmtId="0" fontId="11" fillId="8" borderId="0" xfId="0" applyFont="1" applyFill="1" applyBorder="1" applyAlignment="1" applyProtection="1">
      <alignment vertical="center"/>
    </xf>
    <xf numFmtId="4" fontId="14" fillId="10" borderId="21" xfId="0" applyNumberFormat="1" applyFont="1" applyFill="1" applyBorder="1" applyAlignment="1" applyProtection="1">
      <alignment vertical="center"/>
    </xf>
    <xf numFmtId="4" fontId="14" fillId="10" borderId="22" xfId="0" applyNumberFormat="1" applyFont="1" applyFill="1" applyBorder="1" applyAlignment="1" applyProtection="1">
      <alignment vertical="center"/>
    </xf>
    <xf numFmtId="0" fontId="13" fillId="12" borderId="16" xfId="0" applyFont="1" applyFill="1" applyBorder="1" applyAlignment="1" applyProtection="1">
      <alignment horizontal="left" vertical="center"/>
    </xf>
    <xf numFmtId="10" fontId="13" fillId="12" borderId="17" xfId="3" applyNumberFormat="1" applyFont="1" applyFill="1" applyBorder="1" applyAlignment="1" applyProtection="1">
      <alignment horizontal="center" vertical="center"/>
    </xf>
    <xf numFmtId="0" fontId="15" fillId="8" borderId="18" xfId="0" applyFont="1" applyFill="1" applyBorder="1" applyAlignment="1" applyProtection="1">
      <alignment horizontal="left" vertical="center"/>
    </xf>
    <xf numFmtId="2" fontId="15" fillId="8" borderId="19" xfId="0" applyNumberFormat="1" applyFont="1" applyFill="1" applyBorder="1" applyAlignment="1" applyProtection="1">
      <alignment horizontal="center" vertical="center"/>
    </xf>
    <xf numFmtId="0" fontId="16" fillId="8" borderId="18" xfId="0" applyFont="1" applyFill="1" applyBorder="1" applyAlignment="1" applyProtection="1">
      <alignment horizontal="left" vertical="center"/>
    </xf>
    <xf numFmtId="4" fontId="16" fillId="8" borderId="19" xfId="0" applyNumberFormat="1" applyFont="1" applyFill="1" applyBorder="1" applyAlignment="1" applyProtection="1">
      <alignment horizontal="center" vertical="center"/>
    </xf>
    <xf numFmtId="183" fontId="5" fillId="0" borderId="6" xfId="0" applyNumberFormat="1" applyFont="1" applyBorder="1" applyAlignment="1">
      <alignment horizontal="center"/>
    </xf>
    <xf numFmtId="4" fontId="15" fillId="8" borderId="19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1" fillId="8" borderId="18" xfId="0" applyFont="1" applyFill="1" applyBorder="1" applyAlignment="1" applyProtection="1">
      <alignment horizontal="left" vertical="center"/>
    </xf>
    <xf numFmtId="4" fontId="11" fillId="8" borderId="19" xfId="0" applyNumberFormat="1" applyFont="1" applyFill="1" applyBorder="1" applyAlignment="1" applyProtection="1">
      <alignment horizontal="center" vertical="center"/>
    </xf>
    <xf numFmtId="182" fontId="5" fillId="0" borderId="6" xfId="0" applyNumberFormat="1" applyFont="1" applyBorder="1" applyAlignment="1">
      <alignment horizontal="center"/>
    </xf>
    <xf numFmtId="0" fontId="11" fillId="8" borderId="21" xfId="0" applyFont="1" applyFill="1" applyBorder="1" applyAlignment="1" applyProtection="1">
      <alignment horizontal="left" vertical="center"/>
    </xf>
    <xf numFmtId="4" fontId="14" fillId="8" borderId="22" xfId="0" applyNumberFormat="1" applyFont="1" applyFill="1" applyBorder="1" applyAlignment="1" applyProtection="1">
      <alignment horizontal="center" vertical="center"/>
    </xf>
    <xf numFmtId="0" fontId="13" fillId="12" borderId="17" xfId="0" applyFont="1" applyFill="1" applyBorder="1" applyAlignment="1" applyProtection="1">
      <alignment horizontal="left" vertical="center"/>
    </xf>
    <xf numFmtId="0" fontId="15" fillId="8" borderId="16" xfId="0" applyFont="1" applyFill="1" applyBorder="1" applyAlignment="1" applyProtection="1">
      <alignment horizontal="left" vertical="center"/>
    </xf>
    <xf numFmtId="10" fontId="15" fillId="8" borderId="17" xfId="3" applyNumberFormat="1" applyFont="1" applyFill="1" applyBorder="1" applyAlignment="1" applyProtection="1">
      <alignment horizontal="center" vertical="center"/>
    </xf>
    <xf numFmtId="0" fontId="14" fillId="8" borderId="18" xfId="0" applyFont="1" applyFill="1" applyBorder="1" applyAlignment="1" applyProtection="1">
      <alignment horizontal="left" vertical="center"/>
    </xf>
    <xf numFmtId="10" fontId="15" fillId="8" borderId="19" xfId="3" applyNumberFormat="1" applyFont="1" applyFill="1" applyBorder="1" applyAlignment="1" applyProtection="1">
      <alignment horizontal="center" vertical="center"/>
    </xf>
    <xf numFmtId="184" fontId="6" fillId="0" borderId="6" xfId="0" applyNumberFormat="1" applyFont="1" applyBorder="1" applyAlignment="1">
      <alignment horizontal="right"/>
    </xf>
    <xf numFmtId="184" fontId="7" fillId="0" borderId="6" xfId="0" applyNumberFormat="1" applyFont="1" applyBorder="1" applyAlignment="1">
      <alignment horizontal="right"/>
    </xf>
    <xf numFmtId="184" fontId="5" fillId="0" borderId="6" xfId="0" applyNumberFormat="1" applyFont="1" applyBorder="1" applyAlignment="1">
      <alignment horizontal="right"/>
    </xf>
    <xf numFmtId="181" fontId="3" fillId="4" borderId="6" xfId="0" applyNumberFormat="1" applyFont="1" applyFill="1" applyBorder="1"/>
    <xf numFmtId="4" fontId="11" fillId="11" borderId="0" xfId="0" applyNumberFormat="1" applyFont="1" applyFill="1" applyBorder="1" applyAlignment="1" applyProtection="1">
      <alignment vertical="center"/>
    </xf>
    <xf numFmtId="0" fontId="11" fillId="9" borderId="23" xfId="0" applyFont="1" applyFill="1" applyBorder="1" applyAlignment="1" applyProtection="1">
      <alignment vertical="center"/>
    </xf>
    <xf numFmtId="4" fontId="11" fillId="9" borderId="23" xfId="0" applyNumberFormat="1" applyFont="1" applyFill="1" applyBorder="1" applyAlignment="1" applyProtection="1">
      <alignment vertical="center"/>
    </xf>
    <xf numFmtId="184" fontId="6" fillId="0" borderId="6" xfId="0" applyNumberFormat="1" applyFont="1" applyBorder="1"/>
    <xf numFmtId="0" fontId="11" fillId="9" borderId="0" xfId="0" applyFont="1" applyFill="1" applyBorder="1" applyAlignment="1" applyProtection="1">
      <alignment vertical="center"/>
    </xf>
    <xf numFmtId="181" fontId="3" fillId="6" borderId="6" xfId="0" applyNumberFormat="1" applyFont="1" applyFill="1" applyBorder="1" applyAlignment="1">
      <alignment horizontal="right"/>
    </xf>
    <xf numFmtId="185" fontId="11" fillId="9" borderId="0" xfId="2" applyNumberFormat="1" applyFont="1" applyFill="1" applyBorder="1" applyAlignment="1" applyProtection="1">
      <alignment vertical="center"/>
    </xf>
    <xf numFmtId="185" fontId="11" fillId="9" borderId="0" xfId="0" applyNumberFormat="1" applyFont="1" applyFill="1" applyBorder="1" applyAlignment="1" applyProtection="1">
      <alignment vertical="center"/>
    </xf>
    <xf numFmtId="0" fontId="14" fillId="11" borderId="24" xfId="0" applyFont="1" applyFill="1" applyBorder="1" applyAlignment="1" applyProtection="1">
      <alignment horizontal="left" vertical="center"/>
    </xf>
    <xf numFmtId="4" fontId="14" fillId="11" borderId="25" xfId="0" applyNumberFormat="1" applyFont="1" applyFill="1" applyBorder="1" applyAlignment="1" applyProtection="1">
      <alignment horizontal="center" vertical="center"/>
    </xf>
    <xf numFmtId="0" fontId="14" fillId="8" borderId="0" xfId="0" applyFont="1" applyFill="1" applyBorder="1" applyAlignment="1" applyProtection="1">
      <alignment vertical="center"/>
    </xf>
    <xf numFmtId="0" fontId="13" fillId="10" borderId="16" xfId="0" applyFont="1" applyFill="1" applyBorder="1" applyAlignment="1" applyProtection="1">
      <alignment horizontal="left" vertical="center"/>
    </xf>
    <xf numFmtId="0" fontId="13" fillId="10" borderId="17" xfId="0" applyFont="1" applyFill="1" applyBorder="1" applyAlignment="1" applyProtection="1">
      <alignment horizontal="left" vertical="center"/>
    </xf>
    <xf numFmtId="0" fontId="11" fillId="13" borderId="0" xfId="0" applyFont="1" applyFill="1" applyBorder="1" applyAlignment="1" applyProtection="1">
      <alignment vertical="center"/>
    </xf>
    <xf numFmtId="0" fontId="14" fillId="11" borderId="18" xfId="0" applyFont="1" applyFill="1" applyBorder="1" applyAlignment="1" applyProtection="1">
      <alignment vertical="center"/>
    </xf>
    <xf numFmtId="4" fontId="14" fillId="11" borderId="26" xfId="49" applyNumberFormat="1" applyFont="1" applyFill="1" applyBorder="1" applyAlignment="1" applyProtection="1">
      <alignment vertical="center"/>
    </xf>
    <xf numFmtId="4" fontId="14" fillId="11" borderId="21" xfId="49" applyNumberFormat="1" applyFont="1" applyFill="1" applyBorder="1" applyAlignment="1" applyProtection="1">
      <alignment vertical="center"/>
    </xf>
    <xf numFmtId="4" fontId="14" fillId="11" borderId="22" xfId="49" applyNumberFormat="1" applyFont="1" applyFill="1" applyBorder="1" applyAlignment="1" applyProtection="1">
      <alignment vertical="center"/>
    </xf>
    <xf numFmtId="0" fontId="13" fillId="8" borderId="0" xfId="0" applyFont="1" applyFill="1" applyBorder="1" applyAlignment="1" applyProtection="1">
      <alignment vertical="center"/>
    </xf>
    <xf numFmtId="0" fontId="13" fillId="10" borderId="20" xfId="0" applyFont="1" applyFill="1" applyBorder="1" applyAlignment="1" applyProtection="1">
      <alignment horizontal="center" vertical="center"/>
    </xf>
    <xf numFmtId="0" fontId="13" fillId="10" borderId="27" xfId="0" applyFont="1" applyFill="1" applyBorder="1" applyAlignment="1" applyProtection="1">
      <alignment horizontal="center" vertical="center"/>
    </xf>
    <xf numFmtId="185" fontId="11" fillId="0" borderId="1" xfId="49" applyNumberFormat="1" applyFont="1" applyBorder="1" applyAlignment="1" applyProtection="1">
      <alignment vertical="center"/>
    </xf>
    <xf numFmtId="3" fontId="11" fillId="0" borderId="1" xfId="0" applyNumberFormat="1" applyFont="1" applyBorder="1" applyAlignment="1" applyProtection="1">
      <alignment horizontal="center" vertical="center"/>
    </xf>
    <xf numFmtId="185" fontId="11" fillId="0" borderId="1" xfId="49" applyNumberFormat="1" applyFont="1" applyBorder="1" applyAlignment="1" applyProtection="1">
      <alignment horizontal="justify" vertical="center"/>
    </xf>
    <xf numFmtId="4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0" fontId="11" fillId="8" borderId="28" xfId="0" applyFont="1" applyFill="1" applyBorder="1" applyAlignment="1" applyProtection="1">
      <alignment vertical="center"/>
    </xf>
    <xf numFmtId="4" fontId="11" fillId="0" borderId="28" xfId="0" applyNumberFormat="1" applyFont="1" applyBorder="1" applyAlignment="1" applyProtection="1">
      <alignment horizontal="center" vertical="center"/>
    </xf>
    <xf numFmtId="0" fontId="13" fillId="11" borderId="1" xfId="0" applyFont="1" applyFill="1" applyBorder="1" applyAlignment="1" applyProtection="1">
      <alignment vertical="center"/>
    </xf>
    <xf numFmtId="4" fontId="13" fillId="11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184" fontId="11" fillId="8" borderId="1" xfId="0" applyNumberFormat="1" applyFont="1" applyFill="1" applyBorder="1" applyAlignment="1" applyProtection="1">
      <alignment horizontal="center" vertical="center"/>
    </xf>
    <xf numFmtId="184" fontId="17" fillId="0" borderId="1" xfId="0" applyNumberFormat="1" applyFont="1" applyBorder="1" applyAlignment="1" applyProtection="1">
      <alignment horizontal="center"/>
    </xf>
    <xf numFmtId="0" fontId="11" fillId="8" borderId="0" xfId="0" applyFont="1" applyFill="1" applyBorder="1" applyAlignment="1" applyProtection="1">
      <alignment horizontal="center" vertical="center"/>
    </xf>
    <xf numFmtId="184" fontId="11" fillId="8" borderId="0" xfId="0" applyNumberFormat="1" applyFont="1" applyFill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justify" vertical="center"/>
    </xf>
    <xf numFmtId="0" fontId="8" fillId="6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10" fontId="7" fillId="0" borderId="6" xfId="0" applyNumberFormat="1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10" fontId="8" fillId="4" borderId="6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10" fontId="3" fillId="7" borderId="6" xfId="0" applyNumberFormat="1" applyFont="1" applyFill="1" applyBorder="1" applyAlignment="1">
      <alignment horizontal="center"/>
    </xf>
    <xf numFmtId="10" fontId="6" fillId="2" borderId="6" xfId="0" applyNumberFormat="1" applyFont="1" applyFill="1" applyBorder="1"/>
    <xf numFmtId="0" fontId="3" fillId="0" borderId="2" xfId="0" applyFont="1" applyBorder="1" applyAlignment="1">
      <alignment horizontal="left"/>
    </xf>
    <xf numFmtId="186" fontId="6" fillId="2" borderId="6" xfId="0" applyNumberFormat="1" applyFont="1" applyFill="1" applyBorder="1"/>
    <xf numFmtId="9" fontId="6" fillId="0" borderId="6" xfId="0" applyNumberFormat="1" applyFont="1" applyBorder="1"/>
    <xf numFmtId="10" fontId="3" fillId="4" borderId="6" xfId="0" applyNumberFormat="1" applyFont="1" applyFill="1" applyBorder="1"/>
    <xf numFmtId="0" fontId="18" fillId="0" borderId="4" xfId="0" applyFont="1" applyBorder="1" applyAlignment="1">
      <alignment horizontal="center"/>
    </xf>
    <xf numFmtId="0" fontId="18" fillId="0" borderId="0" xfId="0" applyFont="1" applyAlignment="1">
      <alignment horizontal="left"/>
    </xf>
    <xf numFmtId="10" fontId="18" fillId="0" borderId="0" xfId="0" applyNumberFormat="1" applyFont="1"/>
    <xf numFmtId="0" fontId="19" fillId="0" borderId="4" xfId="0" applyFont="1" applyBorder="1"/>
    <xf numFmtId="0" fontId="19" fillId="0" borderId="0" xfId="0" applyFont="1"/>
    <xf numFmtId="0" fontId="18" fillId="0" borderId="4" xfId="0" applyFont="1" applyBorder="1"/>
    <xf numFmtId="0" fontId="18" fillId="0" borderId="0" xfId="0" applyFont="1"/>
    <xf numFmtId="4" fontId="11" fillId="8" borderId="0" xfId="0" applyNumberFormat="1" applyFont="1" applyFill="1" applyBorder="1" applyAlignment="1" applyProtection="1">
      <alignment vertical="center"/>
    </xf>
    <xf numFmtId="187" fontId="11" fillId="8" borderId="0" xfId="3" applyNumberFormat="1" applyFont="1" applyFill="1" applyBorder="1" applyAlignment="1" applyProtection="1">
      <alignment vertical="center"/>
    </xf>
    <xf numFmtId="186" fontId="11" fillId="8" borderId="0" xfId="0" applyNumberFormat="1" applyFont="1" applyFill="1" applyBorder="1" applyAlignment="1" applyProtection="1">
      <alignment vertical="center"/>
    </xf>
    <xf numFmtId="188" fontId="11" fillId="8" borderId="0" xfId="0" applyNumberFormat="1" applyFont="1" applyFill="1" applyBorder="1" applyAlignment="1" applyProtection="1">
      <alignment vertical="center"/>
    </xf>
    <xf numFmtId="184" fontId="7" fillId="0" borderId="6" xfId="0" applyNumberFormat="1" applyFont="1" applyBorder="1"/>
    <xf numFmtId="181" fontId="8" fillId="4" borderId="6" xfId="0" applyNumberFormat="1" applyFont="1" applyFill="1" applyBorder="1"/>
    <xf numFmtId="10" fontId="20" fillId="0" borderId="0" xfId="3" applyNumberFormat="1" applyFont="1" applyFill="1" applyBorder="1" applyAlignment="1" applyProtection="1"/>
    <xf numFmtId="184" fontId="6" fillId="0" borderId="6" xfId="0" applyNumberFormat="1" applyFont="1" applyBorder="1" applyAlignment="1">
      <alignment horizontal="center"/>
    </xf>
    <xf numFmtId="2" fontId="18" fillId="0" borderId="15" xfId="0" applyNumberFormat="1" applyFont="1" applyBorder="1"/>
    <xf numFmtId="0" fontId="19" fillId="0" borderId="15" xfId="0" applyFont="1" applyBorder="1"/>
    <xf numFmtId="0" fontId="18" fillId="0" borderId="15" xfId="0" applyFont="1" applyBorder="1"/>
    <xf numFmtId="0" fontId="6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2" fontId="3" fillId="0" borderId="15" xfId="0" applyNumberFormat="1" applyFont="1" applyBorder="1"/>
    <xf numFmtId="4" fontId="11" fillId="9" borderId="0" xfId="0" applyNumberFormat="1" applyFont="1" applyFill="1" applyBorder="1" applyAlignment="1" applyProtection="1">
      <alignment vertical="center"/>
    </xf>
    <xf numFmtId="189" fontId="11" fillId="11" borderId="0" xfId="1" applyNumberFormat="1" applyFont="1" applyFill="1" applyBorder="1" applyAlignment="1" applyProtection="1">
      <alignment vertical="center"/>
    </xf>
    <xf numFmtId="0" fontId="22" fillId="0" borderId="0" xfId="0" applyFont="1"/>
    <xf numFmtId="0" fontId="1" fillId="3" borderId="0" xfId="0" applyFont="1" applyFill="1"/>
    <xf numFmtId="10" fontId="3" fillId="0" borderId="0" xfId="0" applyNumberFormat="1" applyFont="1"/>
    <xf numFmtId="184" fontId="6" fillId="2" borderId="6" xfId="0" applyNumberFormat="1" applyFont="1" applyFill="1" applyBorder="1"/>
    <xf numFmtId="181" fontId="3" fillId="0" borderId="15" xfId="0" applyNumberFormat="1" applyFont="1" applyBorder="1"/>
    <xf numFmtId="0" fontId="3" fillId="0" borderId="0" xfId="0" applyFont="1" applyAlignment="1">
      <alignment horizontal="center"/>
    </xf>
    <xf numFmtId="2" fontId="6" fillId="0" borderId="6" xfId="0" applyNumberFormat="1" applyFont="1" applyBorder="1"/>
    <xf numFmtId="181" fontId="3" fillId="0" borderId="0" xfId="0" applyNumberFormat="1" applyFont="1"/>
    <xf numFmtId="10" fontId="5" fillId="2" borderId="6" xfId="0" applyNumberFormat="1" applyFont="1" applyFill="1" applyBorder="1" applyAlignment="1">
      <alignment horizontal="center"/>
    </xf>
    <xf numFmtId="2" fontId="3" fillId="4" borderId="6" xfId="0" applyNumberFormat="1" applyFont="1" applyFill="1" applyBorder="1"/>
    <xf numFmtId="190" fontId="23" fillId="0" borderId="0" xfId="0" applyNumberFormat="1" applyFont="1"/>
    <xf numFmtId="0" fontId="3" fillId="0" borderId="6" xfId="0" applyFont="1" applyBorder="1" applyAlignment="1">
      <alignment horizontal="center" vertical="top"/>
    </xf>
    <xf numFmtId="10" fontId="6" fillId="0" borderId="6" xfId="0" applyNumberFormat="1" applyFont="1" applyFill="1" applyBorder="1" applyAlignment="1">
      <alignment horizontal="center"/>
    </xf>
    <xf numFmtId="0" fontId="6" fillId="0" borderId="0" xfId="0" applyFont="1"/>
    <xf numFmtId="191" fontId="23" fillId="0" borderId="0" xfId="0" applyNumberFormat="1" applyFont="1"/>
    <xf numFmtId="0" fontId="23" fillId="0" borderId="0" xfId="0" applyFont="1"/>
    <xf numFmtId="0" fontId="24" fillId="2" borderId="1" xfId="0" applyFont="1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7" fillId="0" borderId="1" xfId="0" applyFont="1" applyBorder="1"/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/>
    </xf>
    <xf numFmtId="192" fontId="29" fillId="0" borderId="1" xfId="0" applyNumberFormat="1" applyFont="1" applyBorder="1" applyAlignment="1">
      <alignment horizontal="center" wrapText="1"/>
    </xf>
    <xf numFmtId="192" fontId="29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92" fontId="28" fillId="0" borderId="1" xfId="0" applyNumberFormat="1" applyFont="1" applyBorder="1" applyAlignment="1">
      <alignment horizontal="center" wrapText="1"/>
    </xf>
    <xf numFmtId="192" fontId="28" fillId="0" borderId="1" xfId="0" applyNumberFormat="1" applyFont="1" applyBorder="1" applyAlignment="1">
      <alignment horizontal="center"/>
    </xf>
    <xf numFmtId="0" fontId="26" fillId="14" borderId="1" xfId="0" applyFont="1" applyFill="1" applyBorder="1" applyAlignment="1">
      <alignment horizontal="center"/>
    </xf>
    <xf numFmtId="192" fontId="26" fillId="14" borderId="1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wrapText="1"/>
    </xf>
    <xf numFmtId="0" fontId="24" fillId="0" borderId="0" xfId="0" applyFont="1"/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="86" zoomScaleNormal="86" workbookViewId="0">
      <selection activeCell="G23" sqref="G23"/>
    </sheetView>
  </sheetViews>
  <sheetFormatPr defaultColWidth="14.4285714285714" defaultRowHeight="15"/>
  <cols>
    <col min="1" max="1" width="6.14285714285714" customWidth="1"/>
    <col min="2" max="2" width="44.1428571428571" customWidth="1"/>
    <col min="3" max="3" width="9.42857142857143" customWidth="1"/>
    <col min="4" max="4" width="14.4285714285714" customWidth="1"/>
    <col min="5" max="5" width="8" customWidth="1"/>
    <col min="6" max="6" width="15.1428571428571" customWidth="1"/>
    <col min="7" max="7" width="14.4285714285714" customWidth="1"/>
    <col min="8" max="8" width="17" customWidth="1"/>
  </cols>
  <sheetData>
    <row r="1" ht="15.75" spans="1:9">
      <c r="A1" s="174" t="s">
        <v>0</v>
      </c>
      <c r="B1" s="174"/>
      <c r="C1" s="174"/>
      <c r="D1" s="174"/>
      <c r="E1" s="174"/>
      <c r="F1" s="174"/>
      <c r="G1" s="174"/>
      <c r="H1" s="174"/>
      <c r="I1" s="190"/>
    </row>
    <row r="2" customHeight="1" spans="2:3">
      <c r="B2" s="175"/>
      <c r="C2" s="175"/>
    </row>
    <row r="3" spans="1:8">
      <c r="A3" s="176" t="s">
        <v>1</v>
      </c>
      <c r="B3" s="177"/>
      <c r="C3" s="177"/>
      <c r="D3" s="177"/>
      <c r="E3" s="177"/>
      <c r="F3" s="177"/>
      <c r="G3" s="177"/>
      <c r="H3" s="177"/>
    </row>
    <row r="4" ht="24" spans="1:8">
      <c r="A4" s="176" t="s">
        <v>2</v>
      </c>
      <c r="B4" s="176" t="s">
        <v>3</v>
      </c>
      <c r="C4" s="176" t="s">
        <v>4</v>
      </c>
      <c r="D4" s="176" t="s">
        <v>5</v>
      </c>
      <c r="E4" s="176" t="s">
        <v>6</v>
      </c>
      <c r="F4" s="176" t="s">
        <v>7</v>
      </c>
      <c r="G4" s="176" t="s">
        <v>8</v>
      </c>
      <c r="H4" s="176" t="s">
        <v>9</v>
      </c>
    </row>
    <row r="5" spans="1:8">
      <c r="A5" s="178">
        <v>1</v>
      </c>
      <c r="B5" s="179" t="s">
        <v>10</v>
      </c>
      <c r="C5" s="180" t="str">
        <f>'COZINHEIRO 44H (TERESINA)'!I18</f>
        <v>5132-05</v>
      </c>
      <c r="D5" s="179" t="s">
        <v>11</v>
      </c>
      <c r="E5" s="180">
        <v>8</v>
      </c>
      <c r="F5" s="181">
        <f>'COZINHEIRO 44H (TERESINA)'!I141</f>
        <v>4415.6</v>
      </c>
      <c r="G5" s="181">
        <f>F5*12</f>
        <v>52987.2</v>
      </c>
      <c r="H5" s="182">
        <f>E5*G5</f>
        <v>423897.6</v>
      </c>
    </row>
    <row r="6" spans="1:8">
      <c r="A6" s="178">
        <v>2</v>
      </c>
      <c r="B6" s="179" t="s">
        <v>12</v>
      </c>
      <c r="C6" s="180" t="str">
        <f>'AUX. DE COZINHA 44H (TERESINA)'!I18</f>
        <v>5135-05</v>
      </c>
      <c r="D6" s="179" t="s">
        <v>11</v>
      </c>
      <c r="E6" s="180">
        <v>31</v>
      </c>
      <c r="F6" s="181">
        <f>'AUX. DE COZINHA 44H (TERESINA)'!I141</f>
        <v>4281.75</v>
      </c>
      <c r="G6" s="181">
        <f>F6*12</f>
        <v>51381</v>
      </c>
      <c r="H6" s="182">
        <f>E6*G6</f>
        <v>1592811</v>
      </c>
    </row>
    <row r="7" ht="24" spans="1:8">
      <c r="A7" s="178">
        <v>3</v>
      </c>
      <c r="B7" s="178" t="s">
        <v>13</v>
      </c>
      <c r="C7" s="180" t="s">
        <v>14</v>
      </c>
      <c r="D7" s="179" t="s">
        <v>11</v>
      </c>
      <c r="E7" s="183">
        <v>2</v>
      </c>
      <c r="F7" s="184">
        <f>'AUX. ALMOXARIFE 44H (TERESINA)'!I141</f>
        <v>4191.06</v>
      </c>
      <c r="G7" s="181">
        <f>F7*12</f>
        <v>50292.72</v>
      </c>
      <c r="H7" s="185">
        <f>E7*G7</f>
        <v>100585.44</v>
      </c>
    </row>
    <row r="8" ht="13.5" customHeight="1" spans="1:8">
      <c r="A8" s="186" t="s">
        <v>15</v>
      </c>
      <c r="B8" s="177"/>
      <c r="C8" s="177"/>
      <c r="D8" s="177"/>
      <c r="E8" s="177"/>
      <c r="F8" s="177"/>
      <c r="G8" s="177"/>
      <c r="H8" s="187">
        <f>SUM(H5:H7)</f>
        <v>2117294.04</v>
      </c>
    </row>
    <row r="9" ht="15.75" customHeight="1" spans="1:8">
      <c r="A9" s="188"/>
      <c r="B9" s="188"/>
      <c r="C9" s="188"/>
      <c r="D9" s="188"/>
      <c r="E9" s="188"/>
      <c r="F9" s="188"/>
      <c r="G9" s="188"/>
      <c r="H9" s="188"/>
    </row>
    <row r="10" spans="1:8">
      <c r="A10" s="175"/>
      <c r="B10" s="189"/>
      <c r="C10" s="189"/>
      <c r="D10" s="189"/>
      <c r="E10" s="189"/>
      <c r="F10" s="189"/>
      <c r="G10" s="189"/>
      <c r="H10" s="189"/>
    </row>
    <row r="11" spans="1:8">
      <c r="A11" s="175" t="s">
        <v>16</v>
      </c>
      <c r="B11" s="189"/>
      <c r="C11" s="189"/>
      <c r="D11" s="189"/>
      <c r="E11" s="189"/>
      <c r="F11" s="189"/>
      <c r="G11" s="189"/>
      <c r="H11" s="189"/>
    </row>
  </sheetData>
  <mergeCells count="5">
    <mergeCell ref="A1:H1"/>
    <mergeCell ref="A3:H3"/>
    <mergeCell ref="A8:G8"/>
    <mergeCell ref="A9:H9"/>
    <mergeCell ref="A11:H11"/>
  </mergeCells>
  <pageMargins left="0.236111111111111" right="0.236111111111111" top="1.05069444444444" bottom="1.0506944444444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90" zoomScaleNormal="90" workbookViewId="0">
      <selection activeCell="I62" sqref="I62"/>
    </sheetView>
  </sheetViews>
  <sheetFormatPr defaultColWidth="14.4285714285714" defaultRowHeight="15" customHeight="1"/>
  <cols>
    <col min="1" max="1" width="7.42857142857143" style="1" customWidth="1"/>
    <col min="2" max="2" width="12.4285714285714" style="1" customWidth="1"/>
    <col min="3" max="3" width="15" style="1" customWidth="1"/>
    <col min="4" max="4" width="15.2857142857143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2.7142857142857" style="1" customWidth="1"/>
    <col min="10" max="10" width="14.1142857142857" style="2" customWidth="1"/>
    <col min="11" max="11" width="53.5714285714286" style="2" customWidth="1"/>
    <col min="12" max="12" width="25.4285714285714" style="2" customWidth="1"/>
    <col min="13" max="13" width="7.14285714285714" style="1" customWidth="1"/>
    <col min="14" max="14" width="10.5714285714286" style="1" customWidth="1"/>
    <col min="15" max="16384" width="14.4285714285714" style="1"/>
  </cols>
  <sheetData>
    <row r="1" customHeight="1" spans="1:12">
      <c r="A1" s="3" t="s">
        <v>17</v>
      </c>
      <c r="B1" s="3"/>
      <c r="C1" s="3"/>
      <c r="D1" s="3"/>
      <c r="E1" s="3"/>
      <c r="F1" s="3"/>
      <c r="G1" s="3"/>
      <c r="H1" s="3"/>
      <c r="I1" s="3"/>
      <c r="J1" s="42"/>
      <c r="K1" s="43"/>
      <c r="L1" s="43"/>
    </row>
    <row r="2" customHeight="1" spans="10:12">
      <c r="J2" s="42"/>
      <c r="K2" s="43"/>
      <c r="L2" s="43"/>
    </row>
    <row r="3" ht="15.75" spans="1:12">
      <c r="A3" s="5" t="s">
        <v>18</v>
      </c>
      <c r="B3" s="6"/>
      <c r="C3" s="6"/>
      <c r="D3" s="6"/>
      <c r="E3" s="6"/>
      <c r="F3" s="6"/>
      <c r="G3" s="6"/>
      <c r="H3" s="6"/>
      <c r="I3" s="8"/>
      <c r="J3" s="44" t="s">
        <v>19</v>
      </c>
      <c r="K3" s="43"/>
      <c r="L3" s="43"/>
    </row>
    <row r="4" ht="15.75" spans="1:12">
      <c r="A4" s="5"/>
      <c r="B4" s="10"/>
      <c r="C4" s="10"/>
      <c r="D4" s="10"/>
      <c r="E4" s="10"/>
      <c r="F4" s="10"/>
      <c r="G4" s="10"/>
      <c r="H4" s="10"/>
      <c r="I4" s="46"/>
      <c r="J4" s="44"/>
      <c r="K4" s="43"/>
      <c r="L4" s="43"/>
    </row>
    <row r="5" ht="15.75" spans="1:12">
      <c r="A5" s="5" t="s">
        <v>20</v>
      </c>
      <c r="B5" s="6"/>
      <c r="C5" s="6"/>
      <c r="D5" s="6"/>
      <c r="E5" s="6"/>
      <c r="F5" s="6"/>
      <c r="G5" s="8"/>
      <c r="H5" s="9" t="s">
        <v>21</v>
      </c>
      <c r="I5" s="8"/>
      <c r="J5" s="44"/>
      <c r="K5" s="43"/>
      <c r="L5" s="43"/>
    </row>
    <row r="6" ht="15.75" spans="1:12">
      <c r="A6" s="5"/>
      <c r="B6" s="10"/>
      <c r="C6" s="10"/>
      <c r="D6" s="10"/>
      <c r="E6" s="10"/>
      <c r="F6" s="10"/>
      <c r="G6" s="10"/>
      <c r="H6" s="10"/>
      <c r="I6" s="46"/>
      <c r="J6" s="44"/>
      <c r="K6" s="47"/>
      <c r="L6" s="47"/>
    </row>
    <row r="7" ht="16.5" spans="1:12">
      <c r="A7" s="11" t="s">
        <v>22</v>
      </c>
      <c r="B7" s="6"/>
      <c r="C7" s="6"/>
      <c r="D7" s="6"/>
      <c r="E7" s="6"/>
      <c r="F7" s="6"/>
      <c r="G7" s="6"/>
      <c r="H7" s="6"/>
      <c r="I7" s="8"/>
      <c r="J7" s="44"/>
      <c r="K7" s="43"/>
      <c r="L7" s="43"/>
    </row>
    <row r="8" ht="15.75" spans="1:12">
      <c r="A8" s="12" t="s">
        <v>23</v>
      </c>
      <c r="B8" s="13" t="s">
        <v>24</v>
      </c>
      <c r="C8" s="6"/>
      <c r="D8" s="6"/>
      <c r="E8" s="6"/>
      <c r="F8" s="6"/>
      <c r="G8" s="6"/>
      <c r="H8" s="8"/>
      <c r="I8" s="48"/>
      <c r="J8" s="44"/>
      <c r="K8" s="49" t="s">
        <v>25</v>
      </c>
      <c r="L8" s="50"/>
    </row>
    <row r="9" ht="16.5" spans="1:12">
      <c r="A9" s="12" t="s">
        <v>26</v>
      </c>
      <c r="B9" s="13" t="s">
        <v>27</v>
      </c>
      <c r="C9" s="6"/>
      <c r="D9" s="6"/>
      <c r="E9" s="6"/>
      <c r="F9" s="6"/>
      <c r="G9" s="6"/>
      <c r="H9" s="8"/>
      <c r="I9" s="51" t="s">
        <v>28</v>
      </c>
      <c r="J9" s="44"/>
      <c r="K9" s="52" t="s">
        <v>29</v>
      </c>
      <c r="L9" s="53"/>
    </row>
    <row r="10" ht="16.5" spans="1:12">
      <c r="A10" s="12" t="s">
        <v>30</v>
      </c>
      <c r="B10" s="13" t="s">
        <v>31</v>
      </c>
      <c r="C10" s="6"/>
      <c r="D10" s="6"/>
      <c r="E10" s="6"/>
      <c r="F10" s="6"/>
      <c r="G10" s="6"/>
      <c r="H10" s="8"/>
      <c r="I10" s="51" t="s">
        <v>32</v>
      </c>
      <c r="J10" s="44"/>
      <c r="K10" s="54" t="s">
        <v>33</v>
      </c>
      <c r="L10" s="55">
        <f>J140</f>
        <v>3198.99878</v>
      </c>
    </row>
    <row r="11" ht="16.5" spans="1:12">
      <c r="A11" s="12" t="s">
        <v>34</v>
      </c>
      <c r="B11" s="13" t="s">
        <v>35</v>
      </c>
      <c r="C11" s="6"/>
      <c r="D11" s="6"/>
      <c r="E11" s="6"/>
      <c r="F11" s="6"/>
      <c r="G11" s="6"/>
      <c r="H11" s="8"/>
      <c r="I11" s="12">
        <v>12</v>
      </c>
      <c r="J11" s="44"/>
      <c r="K11" s="56"/>
      <c r="L11" s="56"/>
    </row>
    <row r="12" ht="15.75" spans="1:12">
      <c r="A12" s="14"/>
      <c r="B12" s="14"/>
      <c r="C12" s="14"/>
      <c r="D12" s="14"/>
      <c r="E12" s="14"/>
      <c r="F12" s="14"/>
      <c r="G12" s="14"/>
      <c r="H12" s="14"/>
      <c r="I12" s="45"/>
      <c r="J12" s="44"/>
      <c r="K12" s="49" t="s">
        <v>36</v>
      </c>
      <c r="L12" s="50"/>
    </row>
    <row r="13" ht="16.5" spans="1:12">
      <c r="A13" s="11" t="s">
        <v>37</v>
      </c>
      <c r="B13" s="6"/>
      <c r="C13" s="6"/>
      <c r="D13" s="6"/>
      <c r="E13" s="6"/>
      <c r="F13" s="6"/>
      <c r="G13" s="6"/>
      <c r="H13" s="6"/>
      <c r="I13" s="8"/>
      <c r="J13" s="44"/>
      <c r="K13" s="57" t="s">
        <v>38</v>
      </c>
      <c r="L13" s="58"/>
    </row>
    <row r="14" ht="12.75" customHeight="1" spans="1:12">
      <c r="A14" s="15" t="s">
        <v>39</v>
      </c>
      <c r="B14" s="8"/>
      <c r="C14" s="15" t="s">
        <v>40</v>
      </c>
      <c r="D14" s="8"/>
      <c r="E14" s="15" t="s">
        <v>41</v>
      </c>
      <c r="F14" s="6"/>
      <c r="G14" s="6"/>
      <c r="H14" s="6"/>
      <c r="I14" s="8"/>
      <c r="J14" s="44"/>
      <c r="K14" s="59" t="s">
        <v>42</v>
      </c>
      <c r="L14" s="60">
        <v>0.11</v>
      </c>
    </row>
    <row r="15" ht="15.75" spans="1:12">
      <c r="A15" s="16" t="s">
        <v>43</v>
      </c>
      <c r="B15" s="17"/>
      <c r="C15" s="18" t="s">
        <v>11</v>
      </c>
      <c r="D15" s="19"/>
      <c r="E15" s="15">
        <v>8</v>
      </c>
      <c r="F15" s="6"/>
      <c r="G15" s="6"/>
      <c r="H15" s="6"/>
      <c r="I15" s="8"/>
      <c r="J15" s="44"/>
      <c r="K15" s="61" t="s">
        <v>44</v>
      </c>
      <c r="L15" s="62">
        <f>I54</f>
        <v>440.77</v>
      </c>
    </row>
    <row r="16" ht="15.75" spans="1:12">
      <c r="A16" s="11" t="s">
        <v>45</v>
      </c>
      <c r="B16" s="6"/>
      <c r="C16" s="6"/>
      <c r="D16" s="6"/>
      <c r="E16" s="6"/>
      <c r="F16" s="6"/>
      <c r="G16" s="6"/>
      <c r="H16" s="6"/>
      <c r="I16" s="8"/>
      <c r="J16" s="44"/>
      <c r="K16" s="61" t="s">
        <v>46</v>
      </c>
      <c r="L16" s="62">
        <f>I106</f>
        <v>168.15</v>
      </c>
    </row>
    <row r="17" ht="15.75" spans="1:12">
      <c r="A17" s="12">
        <v>1</v>
      </c>
      <c r="B17" s="13" t="s">
        <v>47</v>
      </c>
      <c r="C17" s="6"/>
      <c r="D17" s="6"/>
      <c r="E17" s="6"/>
      <c r="F17" s="6"/>
      <c r="G17" s="6"/>
      <c r="H17" s="8"/>
      <c r="I17" s="12" t="s">
        <v>43</v>
      </c>
      <c r="J17" s="44"/>
      <c r="K17" s="61" t="s">
        <v>48</v>
      </c>
      <c r="L17" s="62">
        <f>I53</f>
        <v>118.79</v>
      </c>
    </row>
    <row r="18" ht="15.75" spans="1:12">
      <c r="A18" s="12">
        <v>2</v>
      </c>
      <c r="B18" s="13" t="s">
        <v>49</v>
      </c>
      <c r="C18" s="6"/>
      <c r="D18" s="6"/>
      <c r="E18" s="6"/>
      <c r="F18" s="6"/>
      <c r="G18" s="6"/>
      <c r="H18" s="8"/>
      <c r="I18" s="12" t="s">
        <v>50</v>
      </c>
      <c r="J18" s="44"/>
      <c r="K18" s="63" t="s">
        <v>51</v>
      </c>
      <c r="L18" s="64">
        <f>SUM(L15:L17)</f>
        <v>727.71</v>
      </c>
    </row>
    <row r="19" ht="15.75" spans="1:12">
      <c r="A19" s="12">
        <v>3</v>
      </c>
      <c r="B19" s="13" t="s">
        <v>52</v>
      </c>
      <c r="C19" s="6"/>
      <c r="D19" s="6"/>
      <c r="E19" s="6"/>
      <c r="F19" s="6"/>
      <c r="G19" s="6"/>
      <c r="H19" s="8"/>
      <c r="I19" s="65">
        <v>1486.83</v>
      </c>
      <c r="J19" s="44"/>
      <c r="K19" s="61" t="s">
        <v>53</v>
      </c>
      <c r="L19" s="66">
        <f>I141</f>
        <v>4415.6</v>
      </c>
    </row>
    <row r="20" ht="38.25" spans="1:12">
      <c r="A20" s="20">
        <v>4</v>
      </c>
      <c r="B20" s="21" t="s">
        <v>54</v>
      </c>
      <c r="C20" s="6"/>
      <c r="D20" s="6"/>
      <c r="E20" s="6"/>
      <c r="F20" s="6"/>
      <c r="G20" s="6"/>
      <c r="H20" s="8"/>
      <c r="I20" s="67" t="s">
        <v>55</v>
      </c>
      <c r="J20" s="44"/>
      <c r="K20" s="68" t="s">
        <v>56</v>
      </c>
      <c r="L20" s="69">
        <f>L19-L18</f>
        <v>3687.89</v>
      </c>
    </row>
    <row r="21" ht="16.5" spans="1:12">
      <c r="A21" s="12">
        <v>5</v>
      </c>
      <c r="B21" s="13" t="s">
        <v>57</v>
      </c>
      <c r="C21" s="6"/>
      <c r="D21" s="6"/>
      <c r="E21" s="6"/>
      <c r="F21" s="6"/>
      <c r="G21" s="6"/>
      <c r="H21" s="8"/>
      <c r="I21" s="70" t="s">
        <v>58</v>
      </c>
      <c r="J21" s="44"/>
      <c r="K21" s="71" t="s">
        <v>59</v>
      </c>
      <c r="L21" s="72">
        <f>L20*11%</f>
        <v>405.6679</v>
      </c>
    </row>
    <row r="22" ht="16.5" spans="1:12">
      <c r="A22" s="22"/>
      <c r="B22" s="6"/>
      <c r="C22" s="6"/>
      <c r="D22" s="6"/>
      <c r="E22" s="6"/>
      <c r="F22" s="6"/>
      <c r="G22" s="6"/>
      <c r="H22" s="6"/>
      <c r="I22" s="8"/>
      <c r="J22" s="44"/>
      <c r="K22" s="59" t="s">
        <v>60</v>
      </c>
      <c r="L22" s="73"/>
    </row>
    <row r="23" ht="15.75" customHeight="1" spans="1:12">
      <c r="A23" s="11" t="s">
        <v>61</v>
      </c>
      <c r="B23" s="6"/>
      <c r="C23" s="6"/>
      <c r="D23" s="6"/>
      <c r="E23" s="6"/>
      <c r="F23" s="6"/>
      <c r="G23" s="6"/>
      <c r="H23" s="6"/>
      <c r="I23" s="8"/>
      <c r="J23" s="44"/>
      <c r="K23" s="74" t="s">
        <v>62</v>
      </c>
      <c r="L23" s="75">
        <v>0.012</v>
      </c>
    </row>
    <row r="24" ht="15.75" customHeight="1" spans="1:12">
      <c r="A24" s="23">
        <v>1</v>
      </c>
      <c r="B24" s="11" t="s">
        <v>63</v>
      </c>
      <c r="C24" s="6"/>
      <c r="D24" s="6"/>
      <c r="E24" s="6"/>
      <c r="F24" s="6"/>
      <c r="G24" s="8"/>
      <c r="H24" s="24" t="s">
        <v>64</v>
      </c>
      <c r="I24" s="24" t="s">
        <v>65</v>
      </c>
      <c r="J24" s="44"/>
      <c r="K24" s="76" t="s">
        <v>66</v>
      </c>
      <c r="L24" s="77">
        <v>0.048</v>
      </c>
    </row>
    <row r="25" ht="15.75" customHeight="1" spans="1:12">
      <c r="A25" s="25" t="s">
        <v>23</v>
      </c>
      <c r="B25" s="13" t="s">
        <v>67</v>
      </c>
      <c r="C25" s="6"/>
      <c r="D25" s="6"/>
      <c r="E25" s="6"/>
      <c r="F25" s="6"/>
      <c r="G25" s="8"/>
      <c r="H25" s="26"/>
      <c r="I25" s="78">
        <f>I19</f>
        <v>1486.83</v>
      </c>
      <c r="J25" s="44"/>
      <c r="K25" s="61" t="s">
        <v>68</v>
      </c>
      <c r="L25" s="66">
        <f>L19</f>
        <v>4415.6</v>
      </c>
    </row>
    <row r="26" ht="15.75" customHeight="1" spans="1:12">
      <c r="A26" s="25" t="s">
        <v>26</v>
      </c>
      <c r="B26" s="13" t="s">
        <v>69</v>
      </c>
      <c r="C26" s="6"/>
      <c r="D26" s="6"/>
      <c r="E26" s="6"/>
      <c r="F26" s="6"/>
      <c r="G26" s="8"/>
      <c r="H26" s="27"/>
      <c r="I26" s="79">
        <v>0</v>
      </c>
      <c r="J26" s="44"/>
      <c r="K26" s="71" t="s">
        <v>70</v>
      </c>
      <c r="L26" s="72">
        <f>L25*L23</f>
        <v>52.9872</v>
      </c>
    </row>
    <row r="27" ht="15.75" customHeight="1" spans="1:12">
      <c r="A27" s="25" t="s">
        <v>30</v>
      </c>
      <c r="B27" s="13" t="s">
        <v>71</v>
      </c>
      <c r="C27" s="6"/>
      <c r="D27" s="6"/>
      <c r="E27" s="6"/>
      <c r="F27" s="6"/>
      <c r="G27" s="8"/>
      <c r="H27" s="27">
        <v>0.2</v>
      </c>
      <c r="I27" s="80">
        <f>ROUND(1518*20%,2)</f>
        <v>303.6</v>
      </c>
      <c r="J27" s="44"/>
      <c r="K27" s="59" t="s">
        <v>72</v>
      </c>
      <c r="L27" s="60">
        <v>0.01</v>
      </c>
    </row>
    <row r="28" ht="15.75" customHeight="1" spans="1:12">
      <c r="A28" s="25" t="s">
        <v>34</v>
      </c>
      <c r="B28" s="13" t="s">
        <v>73</v>
      </c>
      <c r="C28" s="6"/>
      <c r="D28" s="6"/>
      <c r="E28" s="6"/>
      <c r="F28" s="6"/>
      <c r="G28" s="8"/>
      <c r="H28" s="27"/>
      <c r="I28" s="78">
        <v>0</v>
      </c>
      <c r="J28" s="44"/>
      <c r="K28" s="68" t="s">
        <v>53</v>
      </c>
      <c r="L28" s="69">
        <f>L19</f>
        <v>4415.6</v>
      </c>
    </row>
    <row r="29" ht="15.75" customHeight="1" spans="1:12">
      <c r="A29" s="25" t="s">
        <v>74</v>
      </c>
      <c r="B29" s="13" t="s">
        <v>75</v>
      </c>
      <c r="C29" s="6"/>
      <c r="D29" s="6"/>
      <c r="E29" s="6"/>
      <c r="F29" s="6"/>
      <c r="G29" s="8"/>
      <c r="H29" s="27"/>
      <c r="I29" s="78">
        <v>0</v>
      </c>
      <c r="J29" s="44"/>
      <c r="K29" s="71" t="s">
        <v>59</v>
      </c>
      <c r="L29" s="72">
        <f>L28*L27</f>
        <v>44.156</v>
      </c>
    </row>
    <row r="30" ht="15.75" customHeight="1" spans="1:12">
      <c r="A30" s="25" t="s">
        <v>76</v>
      </c>
      <c r="B30" s="13" t="s">
        <v>77</v>
      </c>
      <c r="C30" s="6"/>
      <c r="D30" s="6"/>
      <c r="E30" s="6"/>
      <c r="F30" s="6"/>
      <c r="G30" s="8"/>
      <c r="H30" s="27"/>
      <c r="I30" s="78">
        <v>0</v>
      </c>
      <c r="J30" s="44"/>
      <c r="K30" s="59" t="s">
        <v>78</v>
      </c>
      <c r="L30" s="60">
        <f>H119</f>
        <v>0.0257</v>
      </c>
    </row>
    <row r="31" ht="15.75" customHeight="1" spans="1:12">
      <c r="A31" s="11" t="s">
        <v>79</v>
      </c>
      <c r="B31" s="6"/>
      <c r="C31" s="6"/>
      <c r="D31" s="6"/>
      <c r="E31" s="6"/>
      <c r="F31" s="6"/>
      <c r="G31" s="6"/>
      <c r="H31" s="8"/>
      <c r="I31" s="81">
        <f>SUM(I25:I30)</f>
        <v>1790.43</v>
      </c>
      <c r="J31" s="82">
        <f>SUM(I25:I30)-(I25*6%)</f>
        <v>1701.2202</v>
      </c>
      <c r="K31" s="68" t="s">
        <v>53</v>
      </c>
      <c r="L31" s="69">
        <f>L19</f>
        <v>4415.6</v>
      </c>
    </row>
    <row r="32" ht="15.75" customHeight="1" spans="1:12">
      <c r="A32" s="7"/>
      <c r="B32" s="7"/>
      <c r="C32" s="7"/>
      <c r="D32" s="7"/>
      <c r="E32" s="7"/>
      <c r="F32" s="7"/>
      <c r="G32" s="7"/>
      <c r="H32" s="7"/>
      <c r="I32" s="45"/>
      <c r="J32" s="83"/>
      <c r="K32" s="71" t="s">
        <v>59</v>
      </c>
      <c r="L32" s="72">
        <f>L31*L30</f>
        <v>113.48092</v>
      </c>
    </row>
    <row r="33" ht="15.75" customHeight="1" spans="1:12">
      <c r="A33" s="11" t="s">
        <v>80</v>
      </c>
      <c r="B33" s="6"/>
      <c r="C33" s="6"/>
      <c r="D33" s="6"/>
      <c r="E33" s="6"/>
      <c r="F33" s="6"/>
      <c r="G33" s="6"/>
      <c r="H33" s="6"/>
      <c r="I33" s="8"/>
      <c r="J33" s="83"/>
      <c r="K33" s="59" t="s">
        <v>81</v>
      </c>
      <c r="L33" s="60">
        <f>H118</f>
        <v>0.0055</v>
      </c>
    </row>
    <row r="34" ht="15.75" customHeight="1" spans="1:12">
      <c r="A34" s="11" t="s">
        <v>82</v>
      </c>
      <c r="B34" s="6"/>
      <c r="C34" s="6"/>
      <c r="D34" s="6"/>
      <c r="E34" s="6"/>
      <c r="F34" s="6"/>
      <c r="G34" s="8"/>
      <c r="H34" s="24" t="s">
        <v>64</v>
      </c>
      <c r="I34" s="24" t="s">
        <v>65</v>
      </c>
      <c r="J34" s="84"/>
      <c r="K34" s="68" t="s">
        <v>53</v>
      </c>
      <c r="L34" s="69">
        <f>L19</f>
        <v>4415.6</v>
      </c>
    </row>
    <row r="35" ht="15.75" customHeight="1" spans="1:12">
      <c r="A35" s="25" t="s">
        <v>23</v>
      </c>
      <c r="B35" s="13" t="s">
        <v>83</v>
      </c>
      <c r="C35" s="6"/>
      <c r="D35" s="6"/>
      <c r="E35" s="6"/>
      <c r="F35" s="6"/>
      <c r="G35" s="8"/>
      <c r="H35" s="27">
        <f>ROUND(1/12,4)</f>
        <v>0.0833</v>
      </c>
      <c r="I35" s="85">
        <f>ROUND(I31*H35,2)</f>
        <v>149.14</v>
      </c>
      <c r="J35" s="82">
        <f>I35+(I35*$H$50)</f>
        <v>202.53212</v>
      </c>
      <c r="K35" s="71" t="s">
        <v>59</v>
      </c>
      <c r="L35" s="72">
        <f>L34*L33</f>
        <v>24.2858</v>
      </c>
    </row>
    <row r="36" ht="15.75" customHeight="1" spans="1:12">
      <c r="A36" s="25" t="s">
        <v>26</v>
      </c>
      <c r="B36" s="13" t="s">
        <v>84</v>
      </c>
      <c r="C36" s="6"/>
      <c r="D36" s="6"/>
      <c r="E36" s="6"/>
      <c r="F36" s="6"/>
      <c r="G36" s="8"/>
      <c r="H36" s="27">
        <v>0.121</v>
      </c>
      <c r="I36" s="85">
        <f>ROUND(I31*H36,2)</f>
        <v>216.64</v>
      </c>
      <c r="J36" s="82">
        <f>I36+(I36*$H$50)</f>
        <v>294.19712</v>
      </c>
      <c r="K36" s="59" t="s">
        <v>85</v>
      </c>
      <c r="L36" s="60">
        <f>H120</f>
        <v>0.05</v>
      </c>
    </row>
    <row r="37" ht="15.75" customHeight="1" spans="1:12">
      <c r="A37" s="11" t="s">
        <v>86</v>
      </c>
      <c r="B37" s="6"/>
      <c r="C37" s="6"/>
      <c r="D37" s="6"/>
      <c r="E37" s="6"/>
      <c r="F37" s="6"/>
      <c r="G37" s="8"/>
      <c r="H37" s="28">
        <f>SUM(H35:H36)</f>
        <v>0.2043</v>
      </c>
      <c r="I37" s="81">
        <f>SUM(I35:I36)</f>
        <v>365.78</v>
      </c>
      <c r="J37" s="86"/>
      <c r="K37" s="68" t="s">
        <v>53</v>
      </c>
      <c r="L37" s="69">
        <f>L19</f>
        <v>4415.6</v>
      </c>
    </row>
    <row r="38" ht="15.75" customHeight="1" spans="1:12">
      <c r="A38" s="29" t="s">
        <v>87</v>
      </c>
      <c r="B38" s="30"/>
      <c r="C38" s="30"/>
      <c r="D38" s="30"/>
      <c r="E38" s="30"/>
      <c r="F38" s="30"/>
      <c r="G38" s="31" t="s">
        <v>88</v>
      </c>
      <c r="H38" s="6"/>
      <c r="I38" s="87">
        <f>I31</f>
        <v>1790.43</v>
      </c>
      <c r="J38" s="88"/>
      <c r="K38" s="71" t="s">
        <v>59</v>
      </c>
      <c r="L38" s="72">
        <f>L37*L36</f>
        <v>220.78</v>
      </c>
    </row>
    <row r="39" ht="15.75" customHeight="1" spans="1:12">
      <c r="A39" s="32"/>
      <c r="B39" s="29"/>
      <c r="C39" s="29"/>
      <c r="D39" s="29"/>
      <c r="E39" s="29"/>
      <c r="F39" s="33"/>
      <c r="G39" s="31" t="s">
        <v>89</v>
      </c>
      <c r="H39" s="6"/>
      <c r="I39" s="87">
        <f>I37</f>
        <v>365.78</v>
      </c>
      <c r="J39" s="89"/>
      <c r="K39" s="90" t="s">
        <v>90</v>
      </c>
      <c r="L39" s="91">
        <f>L21+L26+L29+L32+L35+L38</f>
        <v>861.35782</v>
      </c>
    </row>
    <row r="40" ht="15.75" customHeight="1" spans="1:12">
      <c r="A40" s="34"/>
      <c r="B40" s="35"/>
      <c r="C40" s="35"/>
      <c r="D40" s="35"/>
      <c r="E40" s="35"/>
      <c r="F40" s="35"/>
      <c r="G40" s="31" t="s">
        <v>91</v>
      </c>
      <c r="H40" s="6"/>
      <c r="I40" s="87">
        <f>SUM(I38:I39)</f>
        <v>2156.21</v>
      </c>
      <c r="J40" s="88"/>
      <c r="K40" s="92"/>
      <c r="L40" s="92"/>
    </row>
    <row r="41" ht="15.75" customHeight="1" spans="1:12">
      <c r="A41" s="11" t="s">
        <v>92</v>
      </c>
      <c r="B41" s="6"/>
      <c r="C41" s="6"/>
      <c r="D41" s="6"/>
      <c r="E41" s="6"/>
      <c r="F41" s="6"/>
      <c r="G41" s="8"/>
      <c r="H41" s="24" t="s">
        <v>64</v>
      </c>
      <c r="I41" s="24" t="s">
        <v>65</v>
      </c>
      <c r="J41" s="88"/>
      <c r="K41" s="93" t="s">
        <v>93</v>
      </c>
      <c r="L41" s="94"/>
    </row>
    <row r="42" ht="15.75" customHeight="1" spans="1:12">
      <c r="A42" s="25" t="s">
        <v>23</v>
      </c>
      <c r="B42" s="13" t="s">
        <v>94</v>
      </c>
      <c r="C42" s="6"/>
      <c r="D42" s="6"/>
      <c r="E42" s="6"/>
      <c r="F42" s="6"/>
      <c r="G42" s="8"/>
      <c r="H42" s="27">
        <v>0.2</v>
      </c>
      <c r="I42" s="85">
        <f t="shared" ref="I42:I49" si="0">ROUND($I$40*H42,2)</f>
        <v>431.24</v>
      </c>
      <c r="J42" s="95" t="s">
        <v>95</v>
      </c>
      <c r="K42" s="96" t="s">
        <v>96</v>
      </c>
      <c r="L42" s="97"/>
    </row>
    <row r="43" ht="15.75" customHeight="1" spans="1:12">
      <c r="A43" s="25" t="s">
        <v>26</v>
      </c>
      <c r="B43" s="13" t="s">
        <v>97</v>
      </c>
      <c r="C43" s="6"/>
      <c r="D43" s="6"/>
      <c r="E43" s="6"/>
      <c r="F43" s="6"/>
      <c r="G43" s="8"/>
      <c r="H43" s="27">
        <v>0.025</v>
      </c>
      <c r="I43" s="85">
        <f t="shared" si="0"/>
        <v>53.91</v>
      </c>
      <c r="J43" s="82">
        <f>$I$31*H43</f>
        <v>44.76075</v>
      </c>
      <c r="K43" s="98" t="s">
        <v>96</v>
      </c>
      <c r="L43" s="99">
        <f>L10+L39</f>
        <v>4060.3566</v>
      </c>
    </row>
    <row r="44" ht="15.75" customHeight="1" spans="1:12">
      <c r="A44" s="25" t="s">
        <v>30</v>
      </c>
      <c r="B44" s="13" t="s">
        <v>98</v>
      </c>
      <c r="C44" s="6"/>
      <c r="D44" s="6"/>
      <c r="E44" s="6"/>
      <c r="F44" s="6"/>
      <c r="G44" s="8"/>
      <c r="H44" s="166">
        <v>0.02</v>
      </c>
      <c r="I44" s="85">
        <f t="shared" si="0"/>
        <v>43.12</v>
      </c>
      <c r="J44" s="95" t="s">
        <v>95</v>
      </c>
      <c r="K44" s="56"/>
      <c r="L44" s="100"/>
    </row>
    <row r="45" ht="15.75" customHeight="1" spans="1:12">
      <c r="A45" s="25" t="s">
        <v>34</v>
      </c>
      <c r="B45" s="13" t="s">
        <v>99</v>
      </c>
      <c r="C45" s="6"/>
      <c r="D45" s="6"/>
      <c r="E45" s="6"/>
      <c r="F45" s="6"/>
      <c r="G45" s="8"/>
      <c r="H45" s="27">
        <v>0.015</v>
      </c>
      <c r="I45" s="85">
        <f t="shared" si="0"/>
        <v>32.34</v>
      </c>
      <c r="J45" s="82">
        <f>$I$31*H45</f>
        <v>26.85645</v>
      </c>
      <c r="K45" s="56"/>
      <c r="L45" s="100"/>
    </row>
    <row r="46" ht="15.75" customHeight="1" spans="1:12">
      <c r="A46" s="25" t="s">
        <v>74</v>
      </c>
      <c r="B46" s="13" t="s">
        <v>100</v>
      </c>
      <c r="C46" s="6"/>
      <c r="D46" s="6"/>
      <c r="E46" s="6"/>
      <c r="F46" s="6"/>
      <c r="G46" s="8"/>
      <c r="H46" s="27">
        <v>0.01</v>
      </c>
      <c r="I46" s="85">
        <f t="shared" si="0"/>
        <v>21.56</v>
      </c>
      <c r="J46" s="82">
        <f>$I$31*H46</f>
        <v>17.9043</v>
      </c>
      <c r="K46" s="56"/>
      <c r="L46" s="100"/>
    </row>
    <row r="47" ht="15.75" customHeight="1" spans="1:12">
      <c r="A47" s="25" t="s">
        <v>76</v>
      </c>
      <c r="B47" s="13" t="s">
        <v>101</v>
      </c>
      <c r="C47" s="6"/>
      <c r="D47" s="6"/>
      <c r="E47" s="6"/>
      <c r="F47" s="6"/>
      <c r="G47" s="8"/>
      <c r="H47" s="27">
        <v>0.006</v>
      </c>
      <c r="I47" s="85">
        <f t="shared" si="0"/>
        <v>12.94</v>
      </c>
      <c r="J47" s="82">
        <f>$I$31*H47</f>
        <v>10.74258</v>
      </c>
      <c r="K47" s="56"/>
      <c r="L47" s="100"/>
    </row>
    <row r="48" ht="15.75" customHeight="1" spans="1:12">
      <c r="A48" s="25" t="s">
        <v>102</v>
      </c>
      <c r="B48" s="13" t="s">
        <v>103</v>
      </c>
      <c r="C48" s="6"/>
      <c r="D48" s="6"/>
      <c r="E48" s="6"/>
      <c r="F48" s="6"/>
      <c r="G48" s="8"/>
      <c r="H48" s="27">
        <v>0.002</v>
      </c>
      <c r="I48" s="85">
        <f t="shared" si="0"/>
        <v>4.31</v>
      </c>
      <c r="J48" s="82">
        <f>$I$31*H48</f>
        <v>3.58086</v>
      </c>
      <c r="K48" s="56"/>
      <c r="L48" s="100"/>
    </row>
    <row r="49" ht="15.75" customHeight="1" spans="1:12">
      <c r="A49" s="25" t="s">
        <v>104</v>
      </c>
      <c r="B49" s="13" t="s">
        <v>105</v>
      </c>
      <c r="C49" s="6"/>
      <c r="D49" s="6"/>
      <c r="E49" s="6"/>
      <c r="F49" s="6"/>
      <c r="G49" s="8"/>
      <c r="H49" s="27">
        <v>0.08</v>
      </c>
      <c r="I49" s="85">
        <f t="shared" si="0"/>
        <v>172.5</v>
      </c>
      <c r="J49" s="82">
        <f>$I$31*H49</f>
        <v>143.2344</v>
      </c>
      <c r="K49" s="101" t="s">
        <v>106</v>
      </c>
      <c r="L49" s="101"/>
    </row>
    <row r="50" ht="15.75" customHeight="1" spans="1:12">
      <c r="A50" s="11" t="s">
        <v>107</v>
      </c>
      <c r="B50" s="6"/>
      <c r="C50" s="6"/>
      <c r="D50" s="6"/>
      <c r="E50" s="6"/>
      <c r="F50" s="6"/>
      <c r="G50" s="8"/>
      <c r="H50" s="28">
        <f>SUM(H42:H49)</f>
        <v>0.358</v>
      </c>
      <c r="I50" s="81">
        <f>SUM(I42:I49)</f>
        <v>771.92</v>
      </c>
      <c r="J50" s="89"/>
      <c r="K50" s="102" t="s">
        <v>108</v>
      </c>
      <c r="L50" s="102"/>
    </row>
    <row r="51" ht="15.75" customHeight="1" spans="1:12">
      <c r="A51" s="37"/>
      <c r="B51" s="6"/>
      <c r="C51" s="6"/>
      <c r="D51" s="6"/>
      <c r="E51" s="6"/>
      <c r="F51" s="6"/>
      <c r="G51" s="6"/>
      <c r="H51" s="6"/>
      <c r="I51" s="8"/>
      <c r="J51" s="89"/>
      <c r="K51" s="103" t="s">
        <v>109</v>
      </c>
      <c r="L51" s="104">
        <v>8</v>
      </c>
    </row>
    <row r="52" ht="15.75" customHeight="1" spans="1:12">
      <c r="A52" s="11" t="s">
        <v>110</v>
      </c>
      <c r="B52" s="6"/>
      <c r="C52" s="6"/>
      <c r="D52" s="6"/>
      <c r="E52" s="6"/>
      <c r="F52" s="6"/>
      <c r="G52" s="8"/>
      <c r="H52" s="28"/>
      <c r="I52" s="24" t="s">
        <v>65</v>
      </c>
      <c r="J52" s="89"/>
      <c r="K52" s="105" t="s">
        <v>111</v>
      </c>
      <c r="L52" s="106">
        <f>L43</f>
        <v>4060.3566</v>
      </c>
    </row>
    <row r="53" ht="15.75" customHeight="1" spans="1:12">
      <c r="A53" s="25" t="s">
        <v>23</v>
      </c>
      <c r="B53" s="22" t="s">
        <v>112</v>
      </c>
      <c r="C53" s="6"/>
      <c r="D53" s="6"/>
      <c r="E53" s="6"/>
      <c r="F53" s="6"/>
      <c r="G53" s="8"/>
      <c r="H53" s="38">
        <v>4</v>
      </c>
      <c r="I53" s="78">
        <f>ROUND((H53*2*26)-0.06*I25,2)</f>
        <v>118.79</v>
      </c>
      <c r="J53" s="82">
        <f>I53</f>
        <v>118.79</v>
      </c>
      <c r="K53" s="105"/>
      <c r="L53" s="106"/>
    </row>
    <row r="54" ht="15.75" customHeight="1" spans="1:12">
      <c r="A54" s="25" t="s">
        <v>26</v>
      </c>
      <c r="B54" s="22" t="s">
        <v>113</v>
      </c>
      <c r="C54" s="6"/>
      <c r="D54" s="6"/>
      <c r="E54" s="6"/>
      <c r="F54" s="6"/>
      <c r="G54" s="8"/>
      <c r="H54" s="12" t="s">
        <v>114</v>
      </c>
      <c r="I54" s="80">
        <v>440.77</v>
      </c>
      <c r="J54" s="82">
        <f>I54</f>
        <v>440.77</v>
      </c>
      <c r="K54" s="105"/>
      <c r="L54" s="106"/>
    </row>
    <row r="55" ht="15.75" customHeight="1" spans="1:12">
      <c r="A55" s="39" t="s">
        <v>30</v>
      </c>
      <c r="B55" s="40" t="s">
        <v>115</v>
      </c>
      <c r="C55" s="6"/>
      <c r="D55" s="6"/>
      <c r="E55" s="6"/>
      <c r="F55" s="6"/>
      <c r="G55" s="8"/>
      <c r="H55" s="41" t="s">
        <v>114</v>
      </c>
      <c r="I55" s="80">
        <v>46.35</v>
      </c>
      <c r="J55" s="82">
        <f>I55</f>
        <v>46.35</v>
      </c>
      <c r="K55" s="107" t="s">
        <v>116</v>
      </c>
      <c r="L55" s="106">
        <f>I141</f>
        <v>4415.6</v>
      </c>
    </row>
    <row r="56" ht="15.75" customHeight="1" spans="1:12">
      <c r="A56" s="25" t="s">
        <v>34</v>
      </c>
      <c r="B56" s="22" t="s">
        <v>117</v>
      </c>
      <c r="C56" s="6"/>
      <c r="D56" s="6"/>
      <c r="E56" s="6"/>
      <c r="F56" s="6"/>
      <c r="G56" s="8"/>
      <c r="H56" s="12" t="s">
        <v>114</v>
      </c>
      <c r="I56" s="78">
        <f>ROUND((I25*26)*0.002/12,2)</f>
        <v>6.44</v>
      </c>
      <c r="J56" s="82">
        <f>I56</f>
        <v>6.44</v>
      </c>
      <c r="K56" s="108" t="s">
        <v>118</v>
      </c>
      <c r="L56" s="109">
        <f>L43</f>
        <v>4060.3566</v>
      </c>
    </row>
    <row r="57" ht="15.75" customHeight="1" spans="1:12">
      <c r="A57" s="11" t="s">
        <v>119</v>
      </c>
      <c r="B57" s="6"/>
      <c r="C57" s="6"/>
      <c r="D57" s="6"/>
      <c r="E57" s="6"/>
      <c r="F57" s="6"/>
      <c r="G57" s="6"/>
      <c r="H57" s="8"/>
      <c r="I57" s="167">
        <f>SUM(I53:I56)</f>
        <v>612.35</v>
      </c>
      <c r="J57" s="86"/>
      <c r="K57" s="110" t="s">
        <v>120</v>
      </c>
      <c r="L57" s="111">
        <f>L55-L56</f>
        <v>355.2434</v>
      </c>
    </row>
    <row r="58" ht="15.75" customHeight="1" spans="1:12">
      <c r="A58" s="37"/>
      <c r="B58" s="6"/>
      <c r="C58" s="6"/>
      <c r="D58" s="6"/>
      <c r="E58" s="6"/>
      <c r="F58" s="6"/>
      <c r="G58" s="6"/>
      <c r="H58" s="6"/>
      <c r="I58" s="8"/>
      <c r="J58" s="86"/>
      <c r="K58" s="112" t="s">
        <v>121</v>
      </c>
      <c r="L58" s="113">
        <f>SUM(I70:I73,I98,I106,I115)</f>
        <v>365.81</v>
      </c>
    </row>
    <row r="59" ht="15.75" customHeight="1" spans="1:12">
      <c r="A59" s="11" t="s">
        <v>122</v>
      </c>
      <c r="B59" s="6"/>
      <c r="C59" s="6"/>
      <c r="D59" s="6"/>
      <c r="E59" s="6"/>
      <c r="F59" s="6"/>
      <c r="G59" s="6"/>
      <c r="H59" s="6"/>
      <c r="I59" s="8"/>
      <c r="J59" s="86"/>
      <c r="K59" s="112" t="s">
        <v>123</v>
      </c>
      <c r="L59" s="114">
        <f>L57-L58</f>
        <v>-10.5666000000002</v>
      </c>
    </row>
    <row r="60" ht="15.75" customHeight="1" spans="1:12">
      <c r="A60" s="11" t="s">
        <v>124</v>
      </c>
      <c r="B60" s="6"/>
      <c r="C60" s="6"/>
      <c r="D60" s="6"/>
      <c r="E60" s="6"/>
      <c r="F60" s="6"/>
      <c r="G60" s="6"/>
      <c r="H60" s="8"/>
      <c r="I60" s="24" t="s">
        <v>65</v>
      </c>
      <c r="J60" s="86"/>
      <c r="K60" s="115" t="s">
        <v>125</v>
      </c>
      <c r="L60" s="116">
        <f>ROUND(L59*L51,2)</f>
        <v>-84.53</v>
      </c>
    </row>
    <row r="61" ht="15.75" customHeight="1" spans="1:12">
      <c r="A61" s="25" t="s">
        <v>126</v>
      </c>
      <c r="B61" s="15" t="s">
        <v>127</v>
      </c>
      <c r="C61" s="6"/>
      <c r="D61" s="6"/>
      <c r="E61" s="6"/>
      <c r="F61" s="6"/>
      <c r="G61" s="6"/>
      <c r="H61" s="8"/>
      <c r="I61" s="85">
        <f>I37</f>
        <v>365.78</v>
      </c>
      <c r="J61" s="86"/>
      <c r="K61" s="115" t="s">
        <v>128</v>
      </c>
      <c r="L61" s="116">
        <f>ROUND((L59*12)*L51,2)</f>
        <v>-1014.39</v>
      </c>
    </row>
    <row r="62" ht="15.75" customHeight="1" spans="1:14">
      <c r="A62" s="25" t="s">
        <v>129</v>
      </c>
      <c r="B62" s="15" t="s">
        <v>130</v>
      </c>
      <c r="C62" s="6"/>
      <c r="D62" s="6"/>
      <c r="E62" s="6"/>
      <c r="F62" s="6"/>
      <c r="G62" s="6"/>
      <c r="H62" s="8"/>
      <c r="I62" s="85">
        <f>I50</f>
        <v>771.92</v>
      </c>
      <c r="J62" s="86"/>
      <c r="K62" s="117" t="s">
        <v>131</v>
      </c>
      <c r="L62" s="117"/>
      <c r="N62" s="168"/>
    </row>
    <row r="63" ht="15.75" customHeight="1" spans="1:12">
      <c r="A63" s="25" t="s">
        <v>132</v>
      </c>
      <c r="B63" s="15" t="s">
        <v>133</v>
      </c>
      <c r="C63" s="6"/>
      <c r="D63" s="6"/>
      <c r="E63" s="6"/>
      <c r="F63" s="6"/>
      <c r="G63" s="6"/>
      <c r="H63" s="8"/>
      <c r="I63" s="85">
        <f>I57</f>
        <v>612.35</v>
      </c>
      <c r="J63" s="86"/>
      <c r="K63" s="117"/>
      <c r="L63" s="117"/>
    </row>
    <row r="64" ht="15.75" customHeight="1" spans="1:12">
      <c r="A64" s="11" t="s">
        <v>134</v>
      </c>
      <c r="B64" s="6"/>
      <c r="C64" s="6"/>
      <c r="D64" s="6"/>
      <c r="E64" s="6"/>
      <c r="F64" s="6"/>
      <c r="G64" s="6"/>
      <c r="H64" s="8"/>
      <c r="I64" s="81">
        <f>SUM(I61:I63)</f>
        <v>1750.05</v>
      </c>
      <c r="J64" s="86"/>
      <c r="K64" s="117"/>
      <c r="L64" s="117"/>
    </row>
    <row r="65" ht="15.75" customHeight="1" spans="1:12">
      <c r="A65" s="118" t="s">
        <v>135</v>
      </c>
      <c r="B65" s="30"/>
      <c r="C65" s="30"/>
      <c r="D65" s="30"/>
      <c r="E65" s="30"/>
      <c r="F65" s="30"/>
      <c r="G65" s="31" t="s">
        <v>88</v>
      </c>
      <c r="H65" s="6"/>
      <c r="I65" s="87">
        <f>I31</f>
        <v>1790.43</v>
      </c>
      <c r="J65" s="86"/>
      <c r="K65" s="117"/>
      <c r="L65" s="117"/>
    </row>
    <row r="66" ht="15.75" customHeight="1" spans="1:12">
      <c r="A66" s="32"/>
      <c r="B66" s="118"/>
      <c r="C66" s="118"/>
      <c r="D66" s="118"/>
      <c r="E66" s="118"/>
      <c r="F66" s="33"/>
      <c r="G66" s="31" t="s">
        <v>136</v>
      </c>
      <c r="H66" s="6"/>
      <c r="I66" s="87">
        <f>I64</f>
        <v>1750.05</v>
      </c>
      <c r="J66" s="86"/>
      <c r="K66" s="117"/>
      <c r="L66" s="117"/>
    </row>
    <row r="67" ht="15.75" customHeight="1" spans="1:12">
      <c r="A67" s="34"/>
      <c r="B67" s="35"/>
      <c r="C67" s="35"/>
      <c r="D67" s="35"/>
      <c r="E67" s="35"/>
      <c r="F67" s="35"/>
      <c r="G67" s="31" t="s">
        <v>91</v>
      </c>
      <c r="H67" s="6"/>
      <c r="I67" s="87">
        <f>SUM(I65:I66)</f>
        <v>3540.48</v>
      </c>
      <c r="J67" s="86"/>
      <c r="K67" s="117"/>
      <c r="L67" s="117"/>
    </row>
    <row r="68" ht="15.75" customHeight="1" spans="1:12">
      <c r="A68" s="11" t="s">
        <v>137</v>
      </c>
      <c r="B68" s="6"/>
      <c r="C68" s="6"/>
      <c r="D68" s="6"/>
      <c r="E68" s="6"/>
      <c r="F68" s="6"/>
      <c r="G68" s="6"/>
      <c r="H68" s="6"/>
      <c r="I68" s="8"/>
      <c r="J68" s="86"/>
      <c r="K68" s="117"/>
      <c r="L68" s="117"/>
    </row>
    <row r="69" ht="15.75" customHeight="1" spans="1:12">
      <c r="A69" s="25">
        <v>3</v>
      </c>
      <c r="B69" s="11" t="s">
        <v>138</v>
      </c>
      <c r="C69" s="6"/>
      <c r="D69" s="6"/>
      <c r="E69" s="6"/>
      <c r="F69" s="6"/>
      <c r="G69" s="8"/>
      <c r="H69" s="24" t="s">
        <v>64</v>
      </c>
      <c r="I69" s="24" t="s">
        <v>65</v>
      </c>
      <c r="J69" s="86"/>
      <c r="K69" s="117"/>
      <c r="L69" s="117"/>
    </row>
    <row r="70" ht="15.75" customHeight="1" spans="1:12">
      <c r="A70" s="25" t="s">
        <v>23</v>
      </c>
      <c r="B70" s="13" t="s">
        <v>139</v>
      </c>
      <c r="C70" s="6"/>
      <c r="D70" s="6"/>
      <c r="E70" s="6"/>
      <c r="F70" s="6"/>
      <c r="G70" s="8"/>
      <c r="H70" s="27">
        <f>ROUND(((1/12)*5%),4)</f>
        <v>0.0042</v>
      </c>
      <c r="I70" s="85">
        <f t="shared" ref="I70:I74" si="1">ROUND(H70*$I$67,2)</f>
        <v>14.87</v>
      </c>
      <c r="J70" s="86"/>
      <c r="K70" s="117"/>
      <c r="L70" s="117"/>
    </row>
    <row r="71" ht="15.75" customHeight="1" spans="1:12">
      <c r="A71" s="25" t="s">
        <v>26</v>
      </c>
      <c r="B71" s="13" t="s">
        <v>140</v>
      </c>
      <c r="C71" s="6"/>
      <c r="D71" s="6"/>
      <c r="E71" s="6"/>
      <c r="F71" s="6"/>
      <c r="G71" s="8"/>
      <c r="H71" s="27">
        <f>TRUNC(H70*H49,4)</f>
        <v>0.0003</v>
      </c>
      <c r="I71" s="85">
        <f t="shared" si="1"/>
        <v>1.06</v>
      </c>
      <c r="J71" s="86"/>
      <c r="K71" s="117"/>
      <c r="L71" s="117"/>
    </row>
    <row r="72" ht="15.75" customHeight="1" spans="1:12">
      <c r="A72" s="25" t="s">
        <v>30</v>
      </c>
      <c r="B72" s="13" t="s">
        <v>141</v>
      </c>
      <c r="C72" s="6"/>
      <c r="D72" s="6"/>
      <c r="E72" s="6"/>
      <c r="F72" s="6"/>
      <c r="G72" s="8"/>
      <c r="H72" s="27">
        <f>ROUND(((7/30)/12)*95%,4)</f>
        <v>0.0185</v>
      </c>
      <c r="I72" s="85">
        <f t="shared" si="1"/>
        <v>65.5</v>
      </c>
      <c r="J72" s="86"/>
      <c r="K72" s="56"/>
      <c r="L72" s="56"/>
    </row>
    <row r="73" ht="15.75" customHeight="1" spans="1:12">
      <c r="A73" s="169" t="s">
        <v>34</v>
      </c>
      <c r="B73" s="119" t="s">
        <v>142</v>
      </c>
      <c r="C73" s="6"/>
      <c r="D73" s="6"/>
      <c r="E73" s="6"/>
      <c r="F73" s="6"/>
      <c r="G73" s="8"/>
      <c r="H73" s="27">
        <f>ROUND(H72*H50,4)</f>
        <v>0.0066</v>
      </c>
      <c r="I73" s="85">
        <f t="shared" si="1"/>
        <v>23.37</v>
      </c>
      <c r="J73" s="86"/>
      <c r="K73" s="56"/>
      <c r="L73" s="56"/>
    </row>
    <row r="74" ht="15.75" customHeight="1" spans="1:12">
      <c r="A74" s="25" t="s">
        <v>74</v>
      </c>
      <c r="B74" s="13" t="s">
        <v>143</v>
      </c>
      <c r="C74" s="6"/>
      <c r="D74" s="6"/>
      <c r="E74" s="6"/>
      <c r="F74" s="6"/>
      <c r="G74" s="8"/>
      <c r="H74" s="27">
        <v>0.04</v>
      </c>
      <c r="I74" s="85">
        <f t="shared" si="1"/>
        <v>141.62</v>
      </c>
      <c r="J74" s="82">
        <f>I74</f>
        <v>141.62</v>
      </c>
      <c r="K74" s="56"/>
      <c r="L74" s="56"/>
    </row>
    <row r="75" ht="15.75" customHeight="1" spans="1:12">
      <c r="A75" s="11" t="s">
        <v>144</v>
      </c>
      <c r="B75" s="6"/>
      <c r="C75" s="6"/>
      <c r="D75" s="6"/>
      <c r="E75" s="6"/>
      <c r="F75" s="6"/>
      <c r="G75" s="8"/>
      <c r="H75" s="28">
        <f>SUM(H70:H74)</f>
        <v>0.0696</v>
      </c>
      <c r="I75" s="81">
        <f>SUM(I70:I74)</f>
        <v>246.42</v>
      </c>
      <c r="J75" s="86"/>
      <c r="K75" s="141"/>
      <c r="L75" s="56"/>
    </row>
    <row r="76" ht="15.75" customHeight="1" spans="1:12">
      <c r="A76" s="29" t="s">
        <v>145</v>
      </c>
      <c r="B76" s="30"/>
      <c r="C76" s="30"/>
      <c r="D76" s="30"/>
      <c r="E76" s="30"/>
      <c r="F76" s="30"/>
      <c r="G76" s="31" t="s">
        <v>88</v>
      </c>
      <c r="H76" s="6"/>
      <c r="I76" s="87">
        <f>I31</f>
        <v>1790.43</v>
      </c>
      <c r="J76" s="86"/>
      <c r="K76" s="141"/>
      <c r="L76" s="56"/>
    </row>
    <row r="77" ht="15.75" customHeight="1" spans="1:12">
      <c r="A77" s="32"/>
      <c r="B77" s="29"/>
      <c r="C77" s="29"/>
      <c r="D77" s="29"/>
      <c r="E77" s="29"/>
      <c r="F77" s="33"/>
      <c r="G77" s="31" t="s">
        <v>136</v>
      </c>
      <c r="H77" s="6"/>
      <c r="I77" s="87">
        <f>I64</f>
        <v>1750.05</v>
      </c>
      <c r="J77" s="86"/>
      <c r="K77" s="141"/>
      <c r="L77" s="56"/>
    </row>
    <row r="78" ht="15.75" customHeight="1" spans="1:14">
      <c r="A78" s="32"/>
      <c r="B78" s="29"/>
      <c r="C78" s="29"/>
      <c r="D78" s="29"/>
      <c r="E78" s="29"/>
      <c r="F78" s="33"/>
      <c r="G78" s="31" t="s">
        <v>146</v>
      </c>
      <c r="H78" s="6"/>
      <c r="I78" s="87">
        <f>I75</f>
        <v>246.42</v>
      </c>
      <c r="J78" s="86"/>
      <c r="K78" s="141"/>
      <c r="L78" s="56"/>
      <c r="N78" s="172"/>
    </row>
    <row r="79" ht="15.75" customHeight="1" spans="1:12">
      <c r="A79" s="32"/>
      <c r="B79" s="33"/>
      <c r="C79" s="33"/>
      <c r="D79" s="33"/>
      <c r="E79" s="33"/>
      <c r="F79" s="33"/>
      <c r="G79" s="31" t="s">
        <v>91</v>
      </c>
      <c r="H79" s="6"/>
      <c r="I79" s="87">
        <f>SUM(I76:I78)</f>
        <v>3786.9</v>
      </c>
      <c r="J79" s="86"/>
      <c r="K79" s="141"/>
      <c r="L79" s="56"/>
    </row>
    <row r="80" ht="15.75" customHeight="1" spans="1:12">
      <c r="A80" s="11" t="s">
        <v>147</v>
      </c>
      <c r="B80" s="6"/>
      <c r="C80" s="6"/>
      <c r="D80" s="6"/>
      <c r="E80" s="6"/>
      <c r="F80" s="6"/>
      <c r="G80" s="6"/>
      <c r="H80" s="6"/>
      <c r="I80" s="8"/>
      <c r="J80" s="83"/>
      <c r="K80" s="141"/>
      <c r="L80" s="56"/>
    </row>
    <row r="81" ht="15.75" customHeight="1" spans="1:12">
      <c r="A81" s="11" t="s">
        <v>148</v>
      </c>
      <c r="B81" s="6"/>
      <c r="C81" s="6"/>
      <c r="D81" s="6"/>
      <c r="E81" s="6"/>
      <c r="F81" s="6"/>
      <c r="G81" s="8"/>
      <c r="H81" s="24" t="s">
        <v>64</v>
      </c>
      <c r="I81" s="24" t="s">
        <v>65</v>
      </c>
      <c r="J81" s="86"/>
      <c r="K81" s="141"/>
      <c r="L81" s="142"/>
    </row>
    <row r="82" ht="15.75" customHeight="1" spans="1:12">
      <c r="A82" s="25" t="s">
        <v>23</v>
      </c>
      <c r="B82" s="13" t="s">
        <v>149</v>
      </c>
      <c r="C82" s="6"/>
      <c r="D82" s="6"/>
      <c r="E82" s="6"/>
      <c r="F82" s="6"/>
      <c r="G82" s="8"/>
      <c r="H82" s="27">
        <f>ROUND(((1+1/3)/12)/12,4)</f>
        <v>0.0093</v>
      </c>
      <c r="I82" s="85">
        <f t="shared" ref="I82:I87" si="2">ROUND(H82*$I$79,2)</f>
        <v>35.22</v>
      </c>
      <c r="J82" s="86"/>
      <c r="K82" s="141"/>
      <c r="L82" s="56"/>
    </row>
    <row r="83" ht="15.75" customHeight="1" spans="1:12">
      <c r="A83" s="25" t="s">
        <v>26</v>
      </c>
      <c r="B83" s="13" t="s">
        <v>150</v>
      </c>
      <c r="C83" s="6"/>
      <c r="D83" s="6"/>
      <c r="E83" s="6"/>
      <c r="F83" s="6"/>
      <c r="G83" s="8"/>
      <c r="H83" s="27">
        <f>ROUND((2/30)/12,4)</f>
        <v>0.0056</v>
      </c>
      <c r="I83" s="85">
        <f t="shared" si="2"/>
        <v>21.21</v>
      </c>
      <c r="J83" s="86"/>
      <c r="K83" s="56"/>
      <c r="L83" s="56"/>
    </row>
    <row r="84" ht="15.75" customHeight="1" spans="1:12">
      <c r="A84" s="25" t="s">
        <v>30</v>
      </c>
      <c r="B84" s="13" t="s">
        <v>151</v>
      </c>
      <c r="C84" s="6"/>
      <c r="D84" s="6"/>
      <c r="E84" s="6"/>
      <c r="F84" s="6"/>
      <c r="G84" s="8"/>
      <c r="H84" s="27">
        <f>ROUND(((5/30)/12)*2%,4)</f>
        <v>0.0003</v>
      </c>
      <c r="I84" s="85">
        <f t="shared" si="2"/>
        <v>1.14</v>
      </c>
      <c r="J84" s="86"/>
      <c r="K84" s="56"/>
      <c r="L84" s="56"/>
    </row>
    <row r="85" ht="15.75" customHeight="1" spans="1:12">
      <c r="A85" s="25" t="s">
        <v>34</v>
      </c>
      <c r="B85" s="13" t="s">
        <v>152</v>
      </c>
      <c r="C85" s="6"/>
      <c r="D85" s="6"/>
      <c r="E85" s="6"/>
      <c r="F85" s="6"/>
      <c r="G85" s="8"/>
      <c r="H85" s="27">
        <f>ROUND(((15/30)/12)*8%,4)</f>
        <v>0.0033</v>
      </c>
      <c r="I85" s="85">
        <f t="shared" si="2"/>
        <v>12.5</v>
      </c>
      <c r="J85" s="86"/>
      <c r="K85" s="56"/>
      <c r="L85" s="56"/>
    </row>
    <row r="86" ht="15.75" customHeight="1" spans="1:12">
      <c r="A86" s="25" t="s">
        <v>74</v>
      </c>
      <c r="B86" s="13" t="s">
        <v>153</v>
      </c>
      <c r="C86" s="6"/>
      <c r="D86" s="6"/>
      <c r="E86" s="6"/>
      <c r="F86" s="6"/>
      <c r="G86" s="8"/>
      <c r="H86" s="27">
        <f>ROUND(((1+1/3)/12*4/12)*2%,4)</f>
        <v>0.0007</v>
      </c>
      <c r="I86" s="85">
        <f t="shared" si="2"/>
        <v>2.65</v>
      </c>
      <c r="J86" s="86"/>
      <c r="K86" s="56"/>
      <c r="L86" s="56"/>
    </row>
    <row r="87" ht="15.75" customHeight="1" spans="1:12">
      <c r="A87" s="39" t="s">
        <v>76</v>
      </c>
      <c r="B87" s="120" t="s">
        <v>154</v>
      </c>
      <c r="C87" s="6"/>
      <c r="D87" s="6"/>
      <c r="E87" s="6"/>
      <c r="F87" s="6"/>
      <c r="G87" s="8"/>
      <c r="H87" s="121">
        <v>0</v>
      </c>
      <c r="I87" s="85">
        <f t="shared" si="2"/>
        <v>0</v>
      </c>
      <c r="J87" s="86"/>
      <c r="K87" s="56"/>
      <c r="L87" s="56"/>
    </row>
    <row r="88" ht="15.75" customHeight="1" spans="1:12">
      <c r="A88" s="11" t="s">
        <v>155</v>
      </c>
      <c r="B88" s="6"/>
      <c r="C88" s="6"/>
      <c r="D88" s="6"/>
      <c r="E88" s="6"/>
      <c r="F88" s="6"/>
      <c r="G88" s="8"/>
      <c r="H88" s="28">
        <f>SUM(H82:H87)</f>
        <v>0.0192</v>
      </c>
      <c r="I88" s="81">
        <f>SUM(I82:I87)</f>
        <v>72.72</v>
      </c>
      <c r="J88" s="86"/>
      <c r="K88" s="56"/>
      <c r="L88" s="143"/>
    </row>
    <row r="89" ht="15.75" customHeight="1" spans="1:12">
      <c r="A89" s="37"/>
      <c r="B89" s="6"/>
      <c r="C89" s="6"/>
      <c r="D89" s="6"/>
      <c r="E89" s="6"/>
      <c r="F89" s="6"/>
      <c r="G89" s="6"/>
      <c r="H89" s="6"/>
      <c r="I89" s="8"/>
      <c r="J89" s="86"/>
      <c r="K89" s="144"/>
      <c r="L89" s="56"/>
    </row>
    <row r="90" ht="15.75" customHeight="1" spans="1:12">
      <c r="A90" s="122" t="s">
        <v>156</v>
      </c>
      <c r="B90" s="6"/>
      <c r="C90" s="6"/>
      <c r="D90" s="6"/>
      <c r="E90" s="6"/>
      <c r="F90" s="6"/>
      <c r="G90" s="8"/>
      <c r="H90" s="123" t="s">
        <v>64</v>
      </c>
      <c r="I90" s="123" t="s">
        <v>65</v>
      </c>
      <c r="J90" s="86"/>
      <c r="K90" s="56"/>
      <c r="L90" s="56"/>
    </row>
    <row r="91" ht="15.75" customHeight="1" spans="1:12">
      <c r="A91" s="39" t="s">
        <v>23</v>
      </c>
      <c r="B91" s="120" t="s">
        <v>157</v>
      </c>
      <c r="C91" s="6"/>
      <c r="D91" s="6"/>
      <c r="E91" s="6"/>
      <c r="F91" s="6"/>
      <c r="G91" s="8"/>
      <c r="H91" s="121">
        <v>0</v>
      </c>
      <c r="I91" s="145">
        <f>I31*H91</f>
        <v>0</v>
      </c>
      <c r="J91" s="86"/>
      <c r="K91" s="56"/>
      <c r="L91" s="56"/>
    </row>
    <row r="92" ht="15.75" customHeight="1" spans="1:12">
      <c r="A92" s="122" t="s">
        <v>158</v>
      </c>
      <c r="B92" s="6"/>
      <c r="C92" s="6"/>
      <c r="D92" s="6"/>
      <c r="E92" s="6"/>
      <c r="F92" s="6"/>
      <c r="G92" s="8"/>
      <c r="H92" s="124">
        <f>H91</f>
        <v>0</v>
      </c>
      <c r="I92" s="146">
        <f>I91</f>
        <v>0</v>
      </c>
      <c r="J92" s="86"/>
      <c r="K92" s="147"/>
      <c r="L92" s="56"/>
    </row>
    <row r="93" ht="15.75" customHeight="1" spans="1:12">
      <c r="A93" s="37"/>
      <c r="B93" s="6"/>
      <c r="C93" s="6"/>
      <c r="D93" s="6"/>
      <c r="E93" s="6"/>
      <c r="F93" s="6"/>
      <c r="G93" s="6"/>
      <c r="H93" s="6"/>
      <c r="I93" s="8"/>
      <c r="J93" s="86"/>
      <c r="K93" s="56"/>
      <c r="L93" s="56"/>
    </row>
    <row r="94" ht="15.75" customHeight="1" spans="1:12">
      <c r="A94" s="11" t="s">
        <v>159</v>
      </c>
      <c r="B94" s="6"/>
      <c r="C94" s="6"/>
      <c r="D94" s="6"/>
      <c r="E94" s="6"/>
      <c r="F94" s="6"/>
      <c r="G94" s="6"/>
      <c r="H94" s="6"/>
      <c r="I94" s="8"/>
      <c r="J94" s="86"/>
      <c r="K94" s="56"/>
      <c r="L94" s="56"/>
    </row>
    <row r="95" ht="15.75" customHeight="1" spans="1:12">
      <c r="A95" s="11" t="s">
        <v>160</v>
      </c>
      <c r="B95" s="6"/>
      <c r="C95" s="6"/>
      <c r="D95" s="6"/>
      <c r="E95" s="6"/>
      <c r="F95" s="6"/>
      <c r="G95" s="6"/>
      <c r="H95" s="8"/>
      <c r="I95" s="24" t="s">
        <v>65</v>
      </c>
      <c r="J95" s="86"/>
      <c r="K95" s="56"/>
      <c r="L95" s="56"/>
    </row>
    <row r="96" ht="15.75" customHeight="1" spans="1:12">
      <c r="A96" s="25" t="s">
        <v>161</v>
      </c>
      <c r="B96" s="15" t="s">
        <v>162</v>
      </c>
      <c r="C96" s="6"/>
      <c r="D96" s="6"/>
      <c r="E96" s="6"/>
      <c r="F96" s="6"/>
      <c r="G96" s="6"/>
      <c r="H96" s="8"/>
      <c r="I96" s="85">
        <f>I88</f>
        <v>72.72</v>
      </c>
      <c r="J96" s="86"/>
      <c r="K96" s="56"/>
      <c r="L96" s="56"/>
    </row>
    <row r="97" ht="15.75" customHeight="1" spans="1:12">
      <c r="A97" s="39" t="s">
        <v>163</v>
      </c>
      <c r="B97" s="125" t="s">
        <v>164</v>
      </c>
      <c r="C97" s="6"/>
      <c r="D97" s="6"/>
      <c r="E97" s="6"/>
      <c r="F97" s="6"/>
      <c r="G97" s="6"/>
      <c r="H97" s="8"/>
      <c r="I97" s="145">
        <f>I92</f>
        <v>0</v>
      </c>
      <c r="J97" s="86"/>
      <c r="K97" s="56"/>
      <c r="L97" s="56"/>
    </row>
    <row r="98" ht="15.75" customHeight="1" spans="1:12">
      <c r="A98" s="11" t="s">
        <v>165</v>
      </c>
      <c r="B98" s="6"/>
      <c r="C98" s="6"/>
      <c r="D98" s="6"/>
      <c r="E98" s="6"/>
      <c r="F98" s="6"/>
      <c r="G98" s="6"/>
      <c r="H98" s="8"/>
      <c r="I98" s="81">
        <f>SUM(I96:I97)</f>
        <v>72.72</v>
      </c>
      <c r="J98" s="86"/>
      <c r="K98" s="56"/>
      <c r="L98" s="56"/>
    </row>
    <row r="99" ht="15.75" customHeight="1" spans="1:12">
      <c r="A99" s="37"/>
      <c r="B99" s="6"/>
      <c r="C99" s="6"/>
      <c r="D99" s="6"/>
      <c r="E99" s="6"/>
      <c r="F99" s="6"/>
      <c r="G99" s="6"/>
      <c r="H99" s="6"/>
      <c r="I99" s="8"/>
      <c r="J99" s="86"/>
      <c r="K99" s="56"/>
      <c r="L99" s="56"/>
    </row>
    <row r="100" ht="15.75" customHeight="1" spans="1:12">
      <c r="A100" s="11" t="s">
        <v>166</v>
      </c>
      <c r="B100" s="6"/>
      <c r="C100" s="6"/>
      <c r="D100" s="6"/>
      <c r="E100" s="6"/>
      <c r="F100" s="6"/>
      <c r="G100" s="6"/>
      <c r="H100" s="6"/>
      <c r="I100" s="8"/>
      <c r="J100" s="86"/>
      <c r="K100" s="56"/>
      <c r="L100" s="56"/>
    </row>
    <row r="101" ht="15.75" customHeight="1" spans="1:12">
      <c r="A101" s="24">
        <v>5</v>
      </c>
      <c r="B101" s="11" t="s">
        <v>167</v>
      </c>
      <c r="C101" s="6"/>
      <c r="D101" s="6"/>
      <c r="E101" s="6"/>
      <c r="F101" s="6"/>
      <c r="G101" s="8"/>
      <c r="H101" s="24"/>
      <c r="I101" s="24" t="s">
        <v>65</v>
      </c>
      <c r="J101" s="86"/>
      <c r="K101" s="56"/>
      <c r="L101" s="56"/>
    </row>
    <row r="102" ht="15.75" customHeight="1" spans="1:12">
      <c r="A102" s="126" t="s">
        <v>23</v>
      </c>
      <c r="B102" s="22" t="s">
        <v>168</v>
      </c>
      <c r="C102" s="6"/>
      <c r="D102" s="6"/>
      <c r="E102" s="6"/>
      <c r="F102" s="6"/>
      <c r="G102" s="8"/>
      <c r="H102" s="127" t="s">
        <v>114</v>
      </c>
      <c r="I102" s="85">
        <v>0</v>
      </c>
      <c r="J102" s="86"/>
      <c r="K102" s="56"/>
      <c r="L102" s="56"/>
    </row>
    <row r="103" ht="15.75" customHeight="1" spans="1:12">
      <c r="A103" s="126" t="s">
        <v>26</v>
      </c>
      <c r="B103" s="22" t="s">
        <v>169</v>
      </c>
      <c r="C103" s="6"/>
      <c r="D103" s="6"/>
      <c r="E103" s="6"/>
      <c r="F103" s="6"/>
      <c r="G103" s="8"/>
      <c r="H103" s="127" t="s">
        <v>114</v>
      </c>
      <c r="I103" s="161">
        <v>144.57</v>
      </c>
      <c r="J103" s="86"/>
      <c r="K103" s="56"/>
      <c r="L103" s="56"/>
    </row>
    <row r="104" ht="15.75" customHeight="1" spans="1:12">
      <c r="A104" s="126" t="s">
        <v>30</v>
      </c>
      <c r="B104" s="22" t="s">
        <v>170</v>
      </c>
      <c r="C104" s="6"/>
      <c r="D104" s="6"/>
      <c r="E104" s="6"/>
      <c r="F104" s="6"/>
      <c r="G104" s="8"/>
      <c r="H104" s="127" t="s">
        <v>114</v>
      </c>
      <c r="I104" s="85">
        <v>23.58</v>
      </c>
      <c r="J104" s="86"/>
      <c r="K104" s="56"/>
      <c r="L104" s="56"/>
    </row>
    <row r="105" ht="15.75" customHeight="1" spans="1:12">
      <c r="A105" s="126" t="s">
        <v>34</v>
      </c>
      <c r="B105" s="22" t="s">
        <v>171</v>
      </c>
      <c r="C105" s="6"/>
      <c r="D105" s="6"/>
      <c r="E105" s="6"/>
      <c r="F105" s="6"/>
      <c r="G105" s="8"/>
      <c r="H105" s="128" t="s">
        <v>114</v>
      </c>
      <c r="I105" s="85">
        <v>0</v>
      </c>
      <c r="J105" s="86"/>
      <c r="K105" s="56"/>
      <c r="L105" s="56"/>
    </row>
    <row r="106" ht="15.75" customHeight="1" spans="1:12">
      <c r="A106" s="11" t="s">
        <v>172</v>
      </c>
      <c r="B106" s="6"/>
      <c r="C106" s="6"/>
      <c r="D106" s="6"/>
      <c r="E106" s="6"/>
      <c r="F106" s="6"/>
      <c r="G106" s="8"/>
      <c r="H106" s="28" t="s">
        <v>114</v>
      </c>
      <c r="I106" s="81">
        <f>SUM(I102:I105)</f>
        <v>168.15</v>
      </c>
      <c r="J106" s="86"/>
      <c r="K106" s="56"/>
      <c r="L106" s="56"/>
    </row>
    <row r="107" ht="15.75" customHeight="1" spans="1:12">
      <c r="A107" s="29" t="s">
        <v>173</v>
      </c>
      <c r="B107" s="30"/>
      <c r="C107" s="30"/>
      <c r="D107" s="30"/>
      <c r="E107" s="30"/>
      <c r="F107" s="30"/>
      <c r="G107" s="31" t="s">
        <v>88</v>
      </c>
      <c r="H107" s="6"/>
      <c r="I107" s="87">
        <f>I31</f>
        <v>1790.43</v>
      </c>
      <c r="J107" s="86"/>
      <c r="K107" s="56"/>
      <c r="L107" s="56"/>
    </row>
    <row r="108" ht="15.75" customHeight="1" spans="1:12">
      <c r="A108" s="32"/>
      <c r="B108" s="29"/>
      <c r="C108" s="29"/>
      <c r="D108" s="29"/>
      <c r="E108" s="29"/>
      <c r="F108" s="33"/>
      <c r="G108" s="31" t="s">
        <v>136</v>
      </c>
      <c r="H108" s="6"/>
      <c r="I108" s="87">
        <f>I64</f>
        <v>1750.05</v>
      </c>
      <c r="J108" s="86"/>
      <c r="K108" s="56"/>
      <c r="L108" s="56"/>
    </row>
    <row r="109" ht="15.75" customHeight="1" spans="1:12">
      <c r="A109" s="32"/>
      <c r="B109" s="29"/>
      <c r="C109" s="29"/>
      <c r="D109" s="29"/>
      <c r="E109" s="29"/>
      <c r="F109" s="33"/>
      <c r="G109" s="31" t="s">
        <v>146</v>
      </c>
      <c r="H109" s="6"/>
      <c r="I109" s="87">
        <f>I75</f>
        <v>246.42</v>
      </c>
      <c r="J109" s="86"/>
      <c r="K109" s="56"/>
      <c r="L109" s="56"/>
    </row>
    <row r="110" ht="15.75" customHeight="1" spans="1:12">
      <c r="A110" s="32"/>
      <c r="B110" s="29"/>
      <c r="C110" s="29"/>
      <c r="D110" s="29"/>
      <c r="E110" s="29"/>
      <c r="F110" s="33"/>
      <c r="G110" s="31" t="s">
        <v>174</v>
      </c>
      <c r="H110" s="6"/>
      <c r="I110" s="87">
        <f>I98</f>
        <v>72.72</v>
      </c>
      <c r="J110" s="86"/>
      <c r="K110" s="92"/>
      <c r="L110" s="92"/>
    </row>
    <row r="111" ht="15.75" customHeight="1" spans="1:12">
      <c r="A111" s="32"/>
      <c r="B111" s="29"/>
      <c r="C111" s="29"/>
      <c r="D111" s="29"/>
      <c r="E111" s="29"/>
      <c r="F111" s="33"/>
      <c r="G111" s="31" t="s">
        <v>175</v>
      </c>
      <c r="H111" s="6"/>
      <c r="I111" s="87">
        <f>I106</f>
        <v>168.15</v>
      </c>
      <c r="J111" s="86"/>
      <c r="K111" s="92"/>
      <c r="L111" s="92"/>
    </row>
    <row r="112" ht="15.75" customHeight="1" spans="1:12">
      <c r="A112" s="32"/>
      <c r="B112" s="33"/>
      <c r="C112" s="33"/>
      <c r="D112" s="33"/>
      <c r="E112" s="33"/>
      <c r="F112" s="33"/>
      <c r="G112" s="31" t="s">
        <v>91</v>
      </c>
      <c r="H112" s="6"/>
      <c r="I112" s="87">
        <f>SUM(I107:I111)</f>
        <v>4027.77</v>
      </c>
      <c r="J112" s="86"/>
      <c r="K112" s="56"/>
      <c r="L112" s="56"/>
    </row>
    <row r="113" ht="15.75" customHeight="1" spans="1:12">
      <c r="A113" s="11" t="s">
        <v>176</v>
      </c>
      <c r="B113" s="6"/>
      <c r="C113" s="6"/>
      <c r="D113" s="6"/>
      <c r="E113" s="6"/>
      <c r="F113" s="6"/>
      <c r="G113" s="6"/>
      <c r="H113" s="6"/>
      <c r="I113" s="8"/>
      <c r="J113" s="86"/>
      <c r="K113" s="56"/>
      <c r="L113" s="56"/>
    </row>
    <row r="114" ht="15.75" customHeight="1" spans="1:12">
      <c r="A114" s="24">
        <v>6</v>
      </c>
      <c r="B114" s="11" t="s">
        <v>177</v>
      </c>
      <c r="C114" s="6"/>
      <c r="D114" s="6"/>
      <c r="E114" s="6"/>
      <c r="F114" s="6"/>
      <c r="G114" s="8"/>
      <c r="H114" s="24" t="s">
        <v>64</v>
      </c>
      <c r="I114" s="24" t="s">
        <v>65</v>
      </c>
      <c r="J114" s="86"/>
      <c r="K114" s="56"/>
      <c r="L114" s="56"/>
    </row>
    <row r="115" ht="15.75" customHeight="1" spans="1:12">
      <c r="A115" s="25" t="s">
        <v>23</v>
      </c>
      <c r="B115" s="13" t="s">
        <v>178</v>
      </c>
      <c r="C115" s="6"/>
      <c r="D115" s="6"/>
      <c r="E115" s="6"/>
      <c r="F115" s="6"/>
      <c r="G115" s="8"/>
      <c r="H115" s="129">
        <v>0.005</v>
      </c>
      <c r="I115" s="85">
        <f>ROUND(H115*I112,2)</f>
        <v>20.14</v>
      </c>
      <c r="J115" s="86"/>
      <c r="K115" s="56"/>
      <c r="L115" s="56"/>
    </row>
    <row r="116" ht="15.75" customHeight="1" spans="1:12">
      <c r="A116" s="25" t="s">
        <v>26</v>
      </c>
      <c r="B116" s="13" t="s">
        <v>179</v>
      </c>
      <c r="C116" s="6"/>
      <c r="D116" s="6"/>
      <c r="E116" s="6"/>
      <c r="F116" s="6"/>
      <c r="G116" s="8"/>
      <c r="H116" s="129">
        <v>0.002259</v>
      </c>
      <c r="I116" s="85">
        <f>ROUND(H116*(I112+I115),2)</f>
        <v>9.14</v>
      </c>
      <c r="J116" s="86"/>
      <c r="K116" s="56"/>
      <c r="L116" s="56"/>
    </row>
    <row r="117" ht="15.75" customHeight="1" spans="1:12">
      <c r="A117" s="25" t="s">
        <v>30</v>
      </c>
      <c r="B117" s="130" t="s">
        <v>180</v>
      </c>
      <c r="C117" s="6"/>
      <c r="D117" s="6"/>
      <c r="E117" s="6"/>
      <c r="F117" s="6"/>
      <c r="G117" s="8"/>
      <c r="H117" s="170"/>
      <c r="I117" s="148"/>
      <c r="J117" s="86"/>
      <c r="K117" s="56"/>
      <c r="L117" s="56"/>
    </row>
    <row r="118" ht="15.75" customHeight="1" spans="1:12">
      <c r="A118" s="25" t="s">
        <v>181</v>
      </c>
      <c r="B118" s="13" t="s">
        <v>182</v>
      </c>
      <c r="C118" s="6"/>
      <c r="D118" s="6"/>
      <c r="E118" s="6"/>
      <c r="F118" s="6"/>
      <c r="G118" s="8"/>
      <c r="H118" s="131">
        <v>0.0055</v>
      </c>
      <c r="I118" s="85">
        <f t="shared" ref="I118:I120" si="3">ROUND($I$128*H118,2)</f>
        <v>24.29</v>
      </c>
      <c r="J118" s="86"/>
      <c r="K118" s="56"/>
      <c r="L118" s="56"/>
    </row>
    <row r="119" ht="15.75" customHeight="1" spans="1:12">
      <c r="A119" s="25" t="s">
        <v>183</v>
      </c>
      <c r="B119" s="13" t="s">
        <v>78</v>
      </c>
      <c r="C119" s="6"/>
      <c r="D119" s="6"/>
      <c r="E119" s="6"/>
      <c r="F119" s="6"/>
      <c r="G119" s="8"/>
      <c r="H119" s="131">
        <v>0.0257</v>
      </c>
      <c r="I119" s="85">
        <f t="shared" si="3"/>
        <v>113.48</v>
      </c>
      <c r="J119" s="86"/>
      <c r="K119" s="56"/>
      <c r="L119" s="56"/>
    </row>
    <row r="120" ht="15.75" customHeight="1" spans="1:12">
      <c r="A120" s="25" t="s">
        <v>184</v>
      </c>
      <c r="B120" s="13" t="s">
        <v>185</v>
      </c>
      <c r="C120" s="6"/>
      <c r="D120" s="6"/>
      <c r="E120" s="6"/>
      <c r="F120" s="6"/>
      <c r="G120" s="8"/>
      <c r="H120" s="132">
        <v>0.05</v>
      </c>
      <c r="I120" s="85">
        <f t="shared" si="3"/>
        <v>220.78</v>
      </c>
      <c r="J120" s="86"/>
      <c r="K120" s="56"/>
      <c r="L120" s="56"/>
    </row>
    <row r="121" ht="15.75" customHeight="1" spans="1:12">
      <c r="A121" s="11" t="s">
        <v>186</v>
      </c>
      <c r="B121" s="6"/>
      <c r="C121" s="6"/>
      <c r="D121" s="6"/>
      <c r="E121" s="6"/>
      <c r="F121" s="6"/>
      <c r="G121" s="8"/>
      <c r="H121" s="133">
        <f>SUM(H115:H120)</f>
        <v>0.088459</v>
      </c>
      <c r="I121" s="81">
        <f>SUM(I115:I120)</f>
        <v>387.83</v>
      </c>
      <c r="J121" s="86"/>
      <c r="K121" s="56"/>
      <c r="L121" s="56"/>
    </row>
    <row r="122" ht="15.75" customHeight="1" spans="1:12">
      <c r="A122" s="14"/>
      <c r="B122" s="171"/>
      <c r="C122" s="171"/>
      <c r="D122" s="171"/>
      <c r="E122" s="171"/>
      <c r="F122" s="171"/>
      <c r="G122" s="171"/>
      <c r="H122" s="171"/>
      <c r="I122" s="45"/>
      <c r="J122" s="86"/>
      <c r="K122" s="56"/>
      <c r="L122" s="56"/>
    </row>
    <row r="123" ht="15.75" customHeight="1" spans="1:12">
      <c r="A123" s="134" t="s">
        <v>187</v>
      </c>
      <c r="B123" s="135" t="s">
        <v>188</v>
      </c>
      <c r="C123" s="135"/>
      <c r="D123" s="135"/>
      <c r="E123" s="135"/>
      <c r="F123" s="135"/>
      <c r="G123" s="135"/>
      <c r="H123" s="136">
        <f>SUM(H118+H119+H120)</f>
        <v>0.0812</v>
      </c>
      <c r="I123" s="149"/>
      <c r="J123" s="86"/>
      <c r="K123" s="56"/>
      <c r="L123" s="56"/>
    </row>
    <row r="124" ht="15.75" customHeight="1" spans="1:12">
      <c r="A124" s="134"/>
      <c r="B124" s="135">
        <v>100</v>
      </c>
      <c r="C124" s="135"/>
      <c r="D124" s="135"/>
      <c r="E124" s="135"/>
      <c r="F124" s="135"/>
      <c r="G124" s="135"/>
      <c r="H124" s="136"/>
      <c r="I124" s="149"/>
      <c r="J124" s="86"/>
      <c r="K124" s="56"/>
      <c r="L124" s="56"/>
    </row>
    <row r="125" ht="15.75" customHeight="1" spans="1:12">
      <c r="A125" s="137"/>
      <c r="B125" s="135"/>
      <c r="C125" s="135"/>
      <c r="D125" s="135"/>
      <c r="E125" s="135"/>
      <c r="F125" s="135"/>
      <c r="G125" s="135"/>
      <c r="H125" s="136"/>
      <c r="I125" s="149"/>
      <c r="J125" s="86"/>
      <c r="K125" s="92"/>
      <c r="L125" s="92"/>
    </row>
    <row r="126" ht="15.75" customHeight="1" spans="1:12">
      <c r="A126" s="134" t="s">
        <v>189</v>
      </c>
      <c r="B126" s="135" t="s">
        <v>190</v>
      </c>
      <c r="C126" s="135"/>
      <c r="D126" s="135"/>
      <c r="E126" s="135"/>
      <c r="F126" s="135"/>
      <c r="G126" s="135"/>
      <c r="H126" s="136"/>
      <c r="I126" s="149">
        <f>I112+I115+I116</f>
        <v>4057.05</v>
      </c>
      <c r="J126" s="86"/>
      <c r="K126" s="56"/>
      <c r="L126" s="56"/>
    </row>
    <row r="127" ht="15.75" customHeight="1" spans="1:12">
      <c r="A127" s="134"/>
      <c r="B127" s="135"/>
      <c r="C127" s="135"/>
      <c r="D127" s="135"/>
      <c r="E127" s="135"/>
      <c r="F127" s="135"/>
      <c r="G127" s="135"/>
      <c r="H127" s="136"/>
      <c r="I127" s="149"/>
      <c r="J127" s="86"/>
      <c r="K127" s="56"/>
      <c r="L127" s="56"/>
    </row>
    <row r="128" ht="15.75" customHeight="1" spans="1:12">
      <c r="A128" s="134" t="s">
        <v>191</v>
      </c>
      <c r="B128" s="135" t="s">
        <v>192</v>
      </c>
      <c r="C128" s="135"/>
      <c r="D128" s="135"/>
      <c r="E128" s="135"/>
      <c r="F128" s="135"/>
      <c r="G128" s="135"/>
      <c r="H128" s="136"/>
      <c r="I128" s="149">
        <f>ROUND(I126/(1-H123),2)</f>
        <v>4415.6</v>
      </c>
      <c r="J128" s="86"/>
      <c r="K128" s="56"/>
      <c r="L128" s="56"/>
    </row>
    <row r="129" ht="15.75" customHeight="1" spans="1:12">
      <c r="A129" s="134"/>
      <c r="B129" s="135"/>
      <c r="C129" s="135"/>
      <c r="D129" s="135"/>
      <c r="E129" s="135"/>
      <c r="F129" s="135"/>
      <c r="G129" s="135"/>
      <c r="H129" s="136"/>
      <c r="I129" s="149"/>
      <c r="J129" s="86"/>
      <c r="K129" s="56"/>
      <c r="L129" s="56"/>
    </row>
    <row r="130" ht="15.75" customHeight="1" spans="1:12">
      <c r="A130" s="134"/>
      <c r="B130" s="135" t="s">
        <v>193</v>
      </c>
      <c r="C130" s="135"/>
      <c r="D130" s="135"/>
      <c r="E130" s="135"/>
      <c r="F130" s="135"/>
      <c r="G130" s="135"/>
      <c r="H130" s="136"/>
      <c r="I130" s="149">
        <f>I128-I126</f>
        <v>358.550000000001</v>
      </c>
      <c r="J130" s="86"/>
      <c r="K130" s="56"/>
      <c r="L130" s="56"/>
    </row>
    <row r="131" ht="15.75" customHeight="1" spans="1:12">
      <c r="A131" s="14"/>
      <c r="B131" s="152"/>
      <c r="C131" s="152"/>
      <c r="D131" s="152"/>
      <c r="E131" s="152"/>
      <c r="F131" s="152"/>
      <c r="G131" s="152"/>
      <c r="H131" s="152"/>
      <c r="I131" s="155"/>
      <c r="J131" s="86"/>
      <c r="K131" s="56"/>
      <c r="L131" s="56"/>
    </row>
    <row r="132" ht="15.75" customHeight="1" spans="1:12">
      <c r="A132" s="11" t="s">
        <v>194</v>
      </c>
      <c r="B132" s="6"/>
      <c r="C132" s="6"/>
      <c r="D132" s="6"/>
      <c r="E132" s="6"/>
      <c r="F132" s="6"/>
      <c r="G132" s="6"/>
      <c r="H132" s="6"/>
      <c r="I132" s="8"/>
      <c r="J132" s="86"/>
      <c r="K132" s="56"/>
      <c r="L132" s="56"/>
    </row>
    <row r="133" ht="15.75" customHeight="1" spans="1:12">
      <c r="A133" s="11" t="s">
        <v>195</v>
      </c>
      <c r="B133" s="6"/>
      <c r="C133" s="6"/>
      <c r="D133" s="6"/>
      <c r="E133" s="6"/>
      <c r="F133" s="6"/>
      <c r="G133" s="6"/>
      <c r="H133" s="8"/>
      <c r="I133" s="24" t="s">
        <v>65</v>
      </c>
      <c r="J133" s="86"/>
      <c r="K133" s="92"/>
      <c r="L133" s="92"/>
    </row>
    <row r="134" ht="15.75" customHeight="1" spans="1:12">
      <c r="A134" s="12" t="s">
        <v>23</v>
      </c>
      <c r="B134" s="13" t="str">
        <f>A23</f>
        <v>MÓDULO 1 - COMPOSIÇÃO DA REMUNERAÇÃO</v>
      </c>
      <c r="C134" s="6"/>
      <c r="D134" s="6"/>
      <c r="E134" s="6"/>
      <c r="F134" s="6"/>
      <c r="G134" s="6"/>
      <c r="H134" s="8"/>
      <c r="I134" s="164">
        <f>I31</f>
        <v>1790.43</v>
      </c>
      <c r="J134" s="86"/>
      <c r="K134" s="92"/>
      <c r="L134" s="92"/>
    </row>
    <row r="135" ht="15.75" customHeight="1" spans="1:12">
      <c r="A135" s="12" t="s">
        <v>26</v>
      </c>
      <c r="B135" s="13" t="str">
        <f>A33</f>
        <v>MÓDULO 2 – ENCARGOS E BENEFÍCIOS ANUAIS, MENSAIS E DIÁRIOS</v>
      </c>
      <c r="C135" s="6"/>
      <c r="D135" s="6"/>
      <c r="E135" s="6"/>
      <c r="F135" s="6"/>
      <c r="G135" s="6"/>
      <c r="H135" s="8"/>
      <c r="I135" s="164">
        <f>I64</f>
        <v>1750.05</v>
      </c>
      <c r="J135" s="86"/>
      <c r="K135" s="92"/>
      <c r="L135" s="92"/>
    </row>
    <row r="136" ht="15.75" customHeight="1" spans="1:12">
      <c r="A136" s="12" t="s">
        <v>30</v>
      </c>
      <c r="B136" s="13" t="str">
        <f>A68</f>
        <v>MÓDULO 3 – PROVISÃO PARA RESCISÃO</v>
      </c>
      <c r="C136" s="6"/>
      <c r="D136" s="6"/>
      <c r="E136" s="6"/>
      <c r="F136" s="6"/>
      <c r="G136" s="6"/>
      <c r="H136" s="8"/>
      <c r="I136" s="164">
        <f>I75</f>
        <v>246.42</v>
      </c>
      <c r="J136" s="86"/>
      <c r="K136" s="43"/>
      <c r="L136" s="43"/>
    </row>
    <row r="137" ht="15.75" customHeight="1" spans="1:12">
      <c r="A137" s="12" t="s">
        <v>34</v>
      </c>
      <c r="B137" s="13" t="str">
        <f>A80</f>
        <v>MÓDULO 4 – CUSTO DE REPOSIÇÃO DO PROFISSIONAL AUSENTE</v>
      </c>
      <c r="C137" s="6"/>
      <c r="D137" s="6"/>
      <c r="E137" s="6"/>
      <c r="F137" s="6"/>
      <c r="G137" s="6"/>
      <c r="H137" s="8"/>
      <c r="I137" s="164">
        <f>I98</f>
        <v>72.72</v>
      </c>
      <c r="J137" s="156"/>
      <c r="K137" s="43"/>
      <c r="L137" s="43"/>
    </row>
    <row r="138" ht="15.75" customHeight="1" spans="1:12">
      <c r="A138" s="12" t="s">
        <v>74</v>
      </c>
      <c r="B138" s="13" t="str">
        <f>A100</f>
        <v>MÓDULO 5 – INSUMOS DIVERSOS</v>
      </c>
      <c r="C138" s="6"/>
      <c r="D138" s="6"/>
      <c r="E138" s="6"/>
      <c r="F138" s="6"/>
      <c r="G138" s="6"/>
      <c r="H138" s="8"/>
      <c r="I138" s="164">
        <f>I106</f>
        <v>168.15</v>
      </c>
      <c r="J138" s="86"/>
      <c r="K138" s="43"/>
      <c r="L138" s="43"/>
    </row>
    <row r="139" ht="15.75" customHeight="1" spans="1:12">
      <c r="A139" s="11" t="s">
        <v>196</v>
      </c>
      <c r="B139" s="6"/>
      <c r="C139" s="6"/>
      <c r="D139" s="6"/>
      <c r="E139" s="6"/>
      <c r="F139" s="6"/>
      <c r="G139" s="6"/>
      <c r="H139" s="8"/>
      <c r="I139" s="81">
        <f>SUM(I134:I138)</f>
        <v>4027.77</v>
      </c>
      <c r="J139" s="86"/>
      <c r="K139" s="42"/>
      <c r="L139" s="42"/>
    </row>
    <row r="140" ht="15.75" customHeight="1" spans="1:12">
      <c r="A140" s="12" t="s">
        <v>76</v>
      </c>
      <c r="B140" s="13" t="str">
        <f>A113</f>
        <v>MÓDULO 6 – CUSTOS INDIRETOS, TRIBUTOS E LUCRO</v>
      </c>
      <c r="C140" s="6"/>
      <c r="D140" s="6"/>
      <c r="E140" s="6"/>
      <c r="F140" s="6"/>
      <c r="G140" s="6"/>
      <c r="H140" s="8"/>
      <c r="I140" s="164">
        <f>I121</f>
        <v>387.83</v>
      </c>
      <c r="J140" s="157">
        <f>SUM(J30:J139)</f>
        <v>3198.99878</v>
      </c>
      <c r="K140" s="42"/>
      <c r="L140" s="42"/>
    </row>
    <row r="141" ht="15.75" customHeight="1" spans="1:12">
      <c r="A141" s="11" t="s">
        <v>197</v>
      </c>
      <c r="B141" s="6"/>
      <c r="C141" s="6"/>
      <c r="D141" s="6"/>
      <c r="E141" s="6"/>
      <c r="F141" s="6"/>
      <c r="G141" s="6"/>
      <c r="H141" s="8"/>
      <c r="I141" s="81">
        <f>SUM(I139:I140)</f>
        <v>4415.6</v>
      </c>
      <c r="J141" s="42"/>
      <c r="K141" s="42"/>
      <c r="L141" s="42"/>
    </row>
    <row r="142" ht="15.75" customHeight="1" spans="9:9">
      <c r="I142" s="173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73" fitToHeight="0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8"/>
  <sheetViews>
    <sheetView zoomScale="90" zoomScaleNormal="90" workbookViewId="0">
      <selection activeCell="J32" sqref="J32"/>
    </sheetView>
  </sheetViews>
  <sheetFormatPr defaultColWidth="14.4285714285714" defaultRowHeight="15" customHeight="1"/>
  <cols>
    <col min="1" max="1" width="7.42857142857143" style="1" customWidth="1"/>
    <col min="2" max="2" width="10.8571428571429" style="1" customWidth="1"/>
    <col min="3" max="4" width="14.8571428571429" style="1" customWidth="1"/>
    <col min="5" max="5" width="12.4285714285714" style="1" customWidth="1"/>
    <col min="6" max="6" width="10.4285714285714" style="1" customWidth="1"/>
    <col min="7" max="7" width="14.7142857142857" style="1" customWidth="1"/>
    <col min="8" max="8" width="17.2857142857143" style="1" customWidth="1"/>
    <col min="9" max="9" width="28.5714285714286" style="1" customWidth="1"/>
    <col min="10" max="10" width="14.1142857142857" style="2" customWidth="1"/>
    <col min="11" max="11" width="53.5714285714286" style="2" customWidth="1"/>
    <col min="12" max="12" width="25.4285714285714" style="2" customWidth="1"/>
    <col min="13" max="16384" width="14.4285714285714" style="1"/>
  </cols>
  <sheetData>
    <row r="1" ht="15.75" spans="1:12">
      <c r="A1" s="3" t="s">
        <v>17</v>
      </c>
      <c r="B1" s="3"/>
      <c r="C1" s="3"/>
      <c r="D1" s="3"/>
      <c r="E1" s="3"/>
      <c r="F1" s="3"/>
      <c r="G1" s="3"/>
      <c r="H1" s="3"/>
      <c r="I1" s="3"/>
      <c r="J1" s="42"/>
      <c r="K1" s="43"/>
      <c r="L1" s="43"/>
    </row>
    <row r="2" s="159" customFormat="1" ht="15.75" spans="1:12">
      <c r="A2" s="4"/>
      <c r="B2" s="4"/>
      <c r="C2" s="4"/>
      <c r="D2" s="4"/>
      <c r="E2" s="4"/>
      <c r="F2" s="4"/>
      <c r="G2" s="4"/>
      <c r="H2" s="4"/>
      <c r="I2" s="4"/>
      <c r="J2" s="42"/>
      <c r="K2" s="43"/>
      <c r="L2" s="43"/>
    </row>
    <row r="3" ht="15.75" spans="1:12">
      <c r="A3" s="5" t="s">
        <v>198</v>
      </c>
      <c r="B3" s="6"/>
      <c r="C3" s="6"/>
      <c r="D3" s="6"/>
      <c r="E3" s="6"/>
      <c r="F3" s="6"/>
      <c r="G3" s="6"/>
      <c r="H3" s="6"/>
      <c r="I3" s="8"/>
      <c r="J3" s="44" t="s">
        <v>19</v>
      </c>
      <c r="K3" s="43"/>
      <c r="L3" s="43"/>
    </row>
    <row r="4" ht="15.75" spans="1:12">
      <c r="A4" s="5"/>
      <c r="B4" s="10"/>
      <c r="C4" s="10"/>
      <c r="D4" s="10"/>
      <c r="E4" s="10"/>
      <c r="F4" s="10"/>
      <c r="G4" s="10"/>
      <c r="H4" s="10"/>
      <c r="I4" s="46"/>
      <c r="J4" s="44"/>
      <c r="K4" s="43"/>
      <c r="L4" s="43"/>
    </row>
    <row r="5" ht="15.75" spans="1:12">
      <c r="A5" s="5" t="s">
        <v>20</v>
      </c>
      <c r="B5" s="6"/>
      <c r="C5" s="6"/>
      <c r="D5" s="6"/>
      <c r="E5" s="6"/>
      <c r="F5" s="6"/>
      <c r="G5" s="8"/>
      <c r="H5" s="9" t="s">
        <v>21</v>
      </c>
      <c r="I5" s="8"/>
      <c r="J5" s="44"/>
      <c r="K5" s="43"/>
      <c r="L5" s="43"/>
    </row>
    <row r="6" ht="15.75" spans="1:12">
      <c r="A6" s="5"/>
      <c r="B6" s="10"/>
      <c r="C6" s="10"/>
      <c r="D6" s="10"/>
      <c r="E6" s="10"/>
      <c r="F6" s="10"/>
      <c r="G6" s="10"/>
      <c r="H6" s="10"/>
      <c r="I6" s="46"/>
      <c r="J6" s="44"/>
      <c r="K6" s="47"/>
      <c r="L6" s="47"/>
    </row>
    <row r="7" ht="16.5" spans="1:12">
      <c r="A7" s="11" t="s">
        <v>22</v>
      </c>
      <c r="B7" s="6"/>
      <c r="C7" s="6"/>
      <c r="D7" s="6"/>
      <c r="E7" s="6"/>
      <c r="F7" s="6"/>
      <c r="G7" s="6"/>
      <c r="H7" s="6"/>
      <c r="I7" s="8"/>
      <c r="J7" s="44"/>
      <c r="K7" s="43"/>
      <c r="L7" s="43"/>
    </row>
    <row r="8" ht="15.75" spans="1:12">
      <c r="A8" s="12" t="s">
        <v>23</v>
      </c>
      <c r="B8" s="13" t="s">
        <v>24</v>
      </c>
      <c r="C8" s="6"/>
      <c r="D8" s="6"/>
      <c r="E8" s="6"/>
      <c r="F8" s="6"/>
      <c r="G8" s="6"/>
      <c r="H8" s="8"/>
      <c r="I8" s="48"/>
      <c r="J8" s="44"/>
      <c r="K8" s="49" t="s">
        <v>25</v>
      </c>
      <c r="L8" s="50"/>
    </row>
    <row r="9" ht="16.5" spans="1:12">
      <c r="A9" s="12" t="s">
        <v>26</v>
      </c>
      <c r="B9" s="13" t="s">
        <v>27</v>
      </c>
      <c r="C9" s="6"/>
      <c r="D9" s="6"/>
      <c r="E9" s="6"/>
      <c r="F9" s="6"/>
      <c r="G9" s="6"/>
      <c r="H9" s="8"/>
      <c r="I9" s="51" t="s">
        <v>28</v>
      </c>
      <c r="J9" s="44"/>
      <c r="K9" s="52" t="s">
        <v>29</v>
      </c>
      <c r="L9" s="53"/>
    </row>
    <row r="10" ht="16.5" spans="1:12">
      <c r="A10" s="12" t="s">
        <v>30</v>
      </c>
      <c r="B10" s="13" t="s">
        <v>31</v>
      </c>
      <c r="C10" s="6"/>
      <c r="D10" s="6"/>
      <c r="E10" s="6"/>
      <c r="F10" s="6"/>
      <c r="G10" s="6"/>
      <c r="H10" s="8"/>
      <c r="I10" s="51" t="s">
        <v>32</v>
      </c>
      <c r="J10" s="44"/>
      <c r="K10" s="54" t="s">
        <v>33</v>
      </c>
      <c r="L10" s="55">
        <f>J140</f>
        <v>3142.741</v>
      </c>
    </row>
    <row r="11" ht="16.5" spans="1:12">
      <c r="A11" s="12" t="s">
        <v>34</v>
      </c>
      <c r="B11" s="13" t="s">
        <v>35</v>
      </c>
      <c r="C11" s="6"/>
      <c r="D11" s="6"/>
      <c r="E11" s="6"/>
      <c r="F11" s="6"/>
      <c r="G11" s="6"/>
      <c r="H11" s="8"/>
      <c r="I11" s="12">
        <v>12</v>
      </c>
      <c r="J11" s="44"/>
      <c r="K11" s="56"/>
      <c r="L11" s="56"/>
    </row>
    <row r="12" ht="12.75" customHeight="1" spans="1:12">
      <c r="A12" s="14"/>
      <c r="B12" s="14"/>
      <c r="C12" s="14"/>
      <c r="D12" s="14"/>
      <c r="E12" s="14"/>
      <c r="F12" s="14"/>
      <c r="G12" s="14"/>
      <c r="H12" s="14"/>
      <c r="I12" s="45"/>
      <c r="J12" s="44"/>
      <c r="K12" s="49" t="s">
        <v>36</v>
      </c>
      <c r="L12" s="50"/>
    </row>
    <row r="13" ht="16.5" spans="1:12">
      <c r="A13" s="11" t="s">
        <v>37</v>
      </c>
      <c r="B13" s="6"/>
      <c r="C13" s="6"/>
      <c r="D13" s="6"/>
      <c r="E13" s="6"/>
      <c r="F13" s="6"/>
      <c r="G13" s="6"/>
      <c r="H13" s="6"/>
      <c r="I13" s="8"/>
      <c r="J13" s="44"/>
      <c r="K13" s="57" t="s">
        <v>38</v>
      </c>
      <c r="L13" s="58"/>
    </row>
    <row r="14" ht="15.75" spans="1:12">
      <c r="A14" s="15" t="s">
        <v>39</v>
      </c>
      <c r="B14" s="8"/>
      <c r="C14" s="15" t="s">
        <v>40</v>
      </c>
      <c r="D14" s="8"/>
      <c r="E14" s="15" t="s">
        <v>41</v>
      </c>
      <c r="F14" s="6"/>
      <c r="G14" s="6"/>
      <c r="H14" s="6"/>
      <c r="I14" s="8"/>
      <c r="J14" s="44"/>
      <c r="K14" s="59" t="s">
        <v>42</v>
      </c>
      <c r="L14" s="60">
        <v>0.11</v>
      </c>
    </row>
    <row r="15" ht="15.75" spans="1:12">
      <c r="A15" s="16" t="s">
        <v>199</v>
      </c>
      <c r="B15" s="17"/>
      <c r="C15" s="18" t="s">
        <v>11</v>
      </c>
      <c r="D15" s="19"/>
      <c r="E15" s="15">
        <v>31</v>
      </c>
      <c r="F15" s="6"/>
      <c r="G15" s="6"/>
      <c r="H15" s="6"/>
      <c r="I15" s="8"/>
      <c r="J15" s="44"/>
      <c r="K15" s="61" t="s">
        <v>44</v>
      </c>
      <c r="L15" s="62">
        <f>I54</f>
        <v>440.77</v>
      </c>
    </row>
    <row r="16" ht="15.75" spans="1:12">
      <c r="A16" s="11" t="s">
        <v>45</v>
      </c>
      <c r="B16" s="6"/>
      <c r="C16" s="6"/>
      <c r="D16" s="6"/>
      <c r="E16" s="6"/>
      <c r="F16" s="6"/>
      <c r="G16" s="6"/>
      <c r="H16" s="6"/>
      <c r="I16" s="8"/>
      <c r="J16" s="44"/>
      <c r="K16" s="61" t="s">
        <v>46</v>
      </c>
      <c r="L16" s="62">
        <f>I106</f>
        <v>119.3</v>
      </c>
    </row>
    <row r="17" ht="15.75" spans="1:12">
      <c r="A17" s="12">
        <v>1</v>
      </c>
      <c r="B17" s="13" t="s">
        <v>47</v>
      </c>
      <c r="C17" s="6"/>
      <c r="D17" s="6"/>
      <c r="E17" s="6"/>
      <c r="F17" s="6"/>
      <c r="G17" s="6"/>
      <c r="H17" s="8"/>
      <c r="I17" s="12" t="s">
        <v>200</v>
      </c>
      <c r="J17" s="44"/>
      <c r="K17" s="61" t="s">
        <v>48</v>
      </c>
      <c r="L17" s="62">
        <f>I53</f>
        <v>121.27</v>
      </c>
    </row>
    <row r="18" ht="15.75" spans="1:12">
      <c r="A18" s="12">
        <v>2</v>
      </c>
      <c r="B18" s="13" t="s">
        <v>49</v>
      </c>
      <c r="C18" s="6"/>
      <c r="D18" s="6"/>
      <c r="E18" s="6"/>
      <c r="F18" s="6"/>
      <c r="G18" s="6"/>
      <c r="H18" s="8"/>
      <c r="I18" s="12" t="s">
        <v>201</v>
      </c>
      <c r="J18" s="44"/>
      <c r="K18" s="63" t="s">
        <v>51</v>
      </c>
      <c r="L18" s="64">
        <f>SUM(L15:L17)</f>
        <v>681.34</v>
      </c>
    </row>
    <row r="19" ht="15.75" spans="1:12">
      <c r="A19" s="12">
        <v>3</v>
      </c>
      <c r="B19" s="13" t="s">
        <v>52</v>
      </c>
      <c r="C19" s="6"/>
      <c r="D19" s="6"/>
      <c r="E19" s="6"/>
      <c r="F19" s="6"/>
      <c r="G19" s="6"/>
      <c r="H19" s="8"/>
      <c r="I19" s="65">
        <v>1445.55</v>
      </c>
      <c r="J19" s="44"/>
      <c r="K19" s="61" t="s">
        <v>53</v>
      </c>
      <c r="L19" s="66">
        <f>I141</f>
        <v>4281.75</v>
      </c>
    </row>
    <row r="20" ht="38.25" spans="1:12">
      <c r="A20" s="20">
        <v>4</v>
      </c>
      <c r="B20" s="21" t="s">
        <v>54</v>
      </c>
      <c r="C20" s="6"/>
      <c r="D20" s="6"/>
      <c r="E20" s="6"/>
      <c r="F20" s="6"/>
      <c r="G20" s="6"/>
      <c r="H20" s="8"/>
      <c r="I20" s="67" t="s">
        <v>55</v>
      </c>
      <c r="J20" s="44"/>
      <c r="K20" s="68" t="s">
        <v>56</v>
      </c>
      <c r="L20" s="69">
        <f>L19-L18</f>
        <v>3600.41</v>
      </c>
    </row>
    <row r="21" ht="16.5" spans="1:12">
      <c r="A21" s="12">
        <v>5</v>
      </c>
      <c r="B21" s="13" t="s">
        <v>57</v>
      </c>
      <c r="C21" s="6"/>
      <c r="D21" s="6"/>
      <c r="E21" s="6"/>
      <c r="F21" s="6"/>
      <c r="G21" s="6"/>
      <c r="H21" s="8"/>
      <c r="I21" s="70" t="s">
        <v>58</v>
      </c>
      <c r="J21" s="44"/>
      <c r="K21" s="71" t="s">
        <v>59</v>
      </c>
      <c r="L21" s="72">
        <f>L20*11%</f>
        <v>396.0451</v>
      </c>
    </row>
    <row r="22" ht="15.75" customHeight="1" spans="1:12">
      <c r="A22" s="22"/>
      <c r="B22" s="6"/>
      <c r="C22" s="6"/>
      <c r="D22" s="6"/>
      <c r="E22" s="6"/>
      <c r="F22" s="6"/>
      <c r="G22" s="6"/>
      <c r="H22" s="6"/>
      <c r="I22" s="8"/>
      <c r="J22" s="44"/>
      <c r="K22" s="59" t="s">
        <v>60</v>
      </c>
      <c r="L22" s="73"/>
    </row>
    <row r="23" ht="15.75" customHeight="1" spans="1:12">
      <c r="A23" s="11" t="s">
        <v>61</v>
      </c>
      <c r="B23" s="6"/>
      <c r="C23" s="6"/>
      <c r="D23" s="6"/>
      <c r="E23" s="6"/>
      <c r="F23" s="6"/>
      <c r="G23" s="6"/>
      <c r="H23" s="6"/>
      <c r="I23" s="8"/>
      <c r="J23" s="44"/>
      <c r="K23" s="74" t="s">
        <v>62</v>
      </c>
      <c r="L23" s="75">
        <v>0.012</v>
      </c>
    </row>
    <row r="24" ht="15.75" customHeight="1" spans="1:12">
      <c r="A24" s="23">
        <v>1</v>
      </c>
      <c r="B24" s="11" t="s">
        <v>63</v>
      </c>
      <c r="C24" s="6"/>
      <c r="D24" s="6"/>
      <c r="E24" s="6"/>
      <c r="F24" s="6"/>
      <c r="G24" s="8"/>
      <c r="H24" s="24" t="s">
        <v>64</v>
      </c>
      <c r="I24" s="24" t="s">
        <v>65</v>
      </c>
      <c r="J24" s="44"/>
      <c r="K24" s="76" t="s">
        <v>66</v>
      </c>
      <c r="L24" s="77">
        <v>0.048</v>
      </c>
    </row>
    <row r="25" ht="15.75" customHeight="1" spans="1:12">
      <c r="A25" s="25" t="s">
        <v>23</v>
      </c>
      <c r="B25" s="13" t="s">
        <v>67</v>
      </c>
      <c r="C25" s="6"/>
      <c r="D25" s="6"/>
      <c r="E25" s="6"/>
      <c r="F25" s="6"/>
      <c r="G25" s="8"/>
      <c r="H25" s="26"/>
      <c r="I25" s="80">
        <f>I19</f>
        <v>1445.55</v>
      </c>
      <c r="J25" s="44"/>
      <c r="K25" s="61" t="s">
        <v>68</v>
      </c>
      <c r="L25" s="66">
        <f>L19</f>
        <v>4281.75</v>
      </c>
    </row>
    <row r="26" ht="15.75" customHeight="1" spans="1:12">
      <c r="A26" s="25" t="s">
        <v>26</v>
      </c>
      <c r="B26" s="13" t="s">
        <v>69</v>
      </c>
      <c r="C26" s="6"/>
      <c r="D26" s="6"/>
      <c r="E26" s="6"/>
      <c r="F26" s="6"/>
      <c r="G26" s="8"/>
      <c r="H26" s="27"/>
      <c r="I26" s="79">
        <v>0</v>
      </c>
      <c r="J26" s="44"/>
      <c r="K26" s="71" t="s">
        <v>70</v>
      </c>
      <c r="L26" s="72">
        <f>L25*L23</f>
        <v>51.381</v>
      </c>
    </row>
    <row r="27" ht="15.75" customHeight="1" spans="1:12">
      <c r="A27" s="25" t="s">
        <v>30</v>
      </c>
      <c r="B27" s="13" t="s">
        <v>71</v>
      </c>
      <c r="C27" s="6"/>
      <c r="D27" s="6"/>
      <c r="E27" s="6"/>
      <c r="F27" s="6"/>
      <c r="G27" s="8"/>
      <c r="H27" s="27">
        <v>0.2</v>
      </c>
      <c r="I27" s="80">
        <f>ROUND(1518*20%,2)</f>
        <v>303.6</v>
      </c>
      <c r="J27" s="44"/>
      <c r="K27" s="59" t="s">
        <v>72</v>
      </c>
      <c r="L27" s="60">
        <v>0.01</v>
      </c>
    </row>
    <row r="28" ht="15.75" customHeight="1" spans="1:12">
      <c r="A28" s="25" t="s">
        <v>34</v>
      </c>
      <c r="B28" s="13" t="s">
        <v>73</v>
      </c>
      <c r="C28" s="6"/>
      <c r="D28" s="6"/>
      <c r="E28" s="6"/>
      <c r="F28" s="6"/>
      <c r="G28" s="8"/>
      <c r="H28" s="27"/>
      <c r="I28" s="78">
        <v>0</v>
      </c>
      <c r="J28" s="44"/>
      <c r="K28" s="68" t="s">
        <v>53</v>
      </c>
      <c r="L28" s="69">
        <f>L19</f>
        <v>4281.75</v>
      </c>
    </row>
    <row r="29" ht="15.75" customHeight="1" spans="1:12">
      <c r="A29" s="25" t="s">
        <v>74</v>
      </c>
      <c r="B29" s="13" t="s">
        <v>75</v>
      </c>
      <c r="C29" s="6"/>
      <c r="D29" s="6"/>
      <c r="E29" s="6"/>
      <c r="F29" s="6"/>
      <c r="G29" s="8"/>
      <c r="H29" s="27"/>
      <c r="I29" s="78">
        <v>0</v>
      </c>
      <c r="J29" s="44"/>
      <c r="K29" s="71" t="s">
        <v>59</v>
      </c>
      <c r="L29" s="72">
        <f>L28*L27</f>
        <v>42.8175</v>
      </c>
    </row>
    <row r="30" ht="15.75" customHeight="1" spans="1:12">
      <c r="A30" s="25" t="s">
        <v>76</v>
      </c>
      <c r="B30" s="13" t="s">
        <v>77</v>
      </c>
      <c r="C30" s="6"/>
      <c r="D30" s="6"/>
      <c r="E30" s="6"/>
      <c r="F30" s="6"/>
      <c r="G30" s="8"/>
      <c r="H30" s="27"/>
      <c r="I30" s="78">
        <v>0</v>
      </c>
      <c r="J30" s="44"/>
      <c r="K30" s="59" t="s">
        <v>78</v>
      </c>
      <c r="L30" s="60">
        <f>H119</f>
        <v>0.0257</v>
      </c>
    </row>
    <row r="31" ht="15.75" customHeight="1" spans="1:12">
      <c r="A31" s="11" t="s">
        <v>79</v>
      </c>
      <c r="B31" s="6"/>
      <c r="C31" s="6"/>
      <c r="D31" s="6"/>
      <c r="E31" s="6"/>
      <c r="F31" s="6"/>
      <c r="G31" s="6"/>
      <c r="H31" s="8"/>
      <c r="I31" s="81">
        <f>SUM(I25:I30)</f>
        <v>1749.15</v>
      </c>
      <c r="J31" s="82">
        <f>SUM(I25:I30)-(I25*6%)</f>
        <v>1662.417</v>
      </c>
      <c r="K31" s="68" t="s">
        <v>53</v>
      </c>
      <c r="L31" s="69">
        <f>L19</f>
        <v>4281.75</v>
      </c>
    </row>
    <row r="32" ht="15.75" customHeight="1" spans="1:12">
      <c r="A32" s="7"/>
      <c r="B32" s="7"/>
      <c r="C32" s="7"/>
      <c r="D32" s="7"/>
      <c r="E32" s="7"/>
      <c r="F32" s="7"/>
      <c r="G32" s="7"/>
      <c r="H32" s="7"/>
      <c r="I32" s="45"/>
      <c r="J32" s="83"/>
      <c r="K32" s="71" t="s">
        <v>59</v>
      </c>
      <c r="L32" s="72">
        <f>L31*L30</f>
        <v>110.040975</v>
      </c>
    </row>
    <row r="33" ht="15.75" customHeight="1" spans="1:12">
      <c r="A33" s="11" t="s">
        <v>80</v>
      </c>
      <c r="B33" s="6"/>
      <c r="C33" s="6"/>
      <c r="D33" s="6"/>
      <c r="E33" s="6"/>
      <c r="F33" s="6"/>
      <c r="G33" s="6"/>
      <c r="H33" s="6"/>
      <c r="I33" s="8"/>
      <c r="J33" s="83"/>
      <c r="K33" s="59" t="s">
        <v>81</v>
      </c>
      <c r="L33" s="60">
        <f>H118</f>
        <v>0.0055</v>
      </c>
    </row>
    <row r="34" ht="15.75" customHeight="1" spans="1:12">
      <c r="A34" s="11" t="s">
        <v>82</v>
      </c>
      <c r="B34" s="6"/>
      <c r="C34" s="6"/>
      <c r="D34" s="6"/>
      <c r="E34" s="6"/>
      <c r="F34" s="6"/>
      <c r="G34" s="8"/>
      <c r="H34" s="24" t="s">
        <v>64</v>
      </c>
      <c r="I34" s="24" t="s">
        <v>65</v>
      </c>
      <c r="J34" s="84"/>
      <c r="K34" s="68" t="s">
        <v>53</v>
      </c>
      <c r="L34" s="69">
        <f>L19</f>
        <v>4281.75</v>
      </c>
    </row>
    <row r="35" ht="15.75" customHeight="1" spans="1:12">
      <c r="A35" s="25" t="s">
        <v>23</v>
      </c>
      <c r="B35" s="13" t="s">
        <v>83</v>
      </c>
      <c r="C35" s="6"/>
      <c r="D35" s="6"/>
      <c r="E35" s="6"/>
      <c r="F35" s="6"/>
      <c r="G35" s="8"/>
      <c r="H35" s="27">
        <f>ROUND(1/12,4)</f>
        <v>0.0833</v>
      </c>
      <c r="I35" s="85">
        <f>ROUND(I31*H35,2)</f>
        <v>145.7</v>
      </c>
      <c r="J35" s="82">
        <f>I35+(I35*$H$50)</f>
        <v>197.8606</v>
      </c>
      <c r="K35" s="71" t="s">
        <v>59</v>
      </c>
      <c r="L35" s="72">
        <f>L34*L33</f>
        <v>23.549625</v>
      </c>
    </row>
    <row r="36" ht="15.75" customHeight="1" spans="1:12">
      <c r="A36" s="25" t="s">
        <v>26</v>
      </c>
      <c r="B36" s="13" t="s">
        <v>84</v>
      </c>
      <c r="C36" s="6"/>
      <c r="D36" s="6"/>
      <c r="E36" s="6"/>
      <c r="F36" s="6"/>
      <c r="G36" s="8"/>
      <c r="H36" s="27">
        <v>0.121</v>
      </c>
      <c r="I36" s="85">
        <f>ROUND(I31*H36,2)</f>
        <v>211.65</v>
      </c>
      <c r="J36" s="82">
        <f>I36+(I36*$H$50)</f>
        <v>287.4207</v>
      </c>
      <c r="K36" s="59" t="s">
        <v>85</v>
      </c>
      <c r="L36" s="60">
        <f>H120</f>
        <v>0.05</v>
      </c>
    </row>
    <row r="37" ht="15.75" customHeight="1" spans="1:12">
      <c r="A37" s="11" t="s">
        <v>86</v>
      </c>
      <c r="B37" s="6"/>
      <c r="C37" s="6"/>
      <c r="D37" s="6"/>
      <c r="E37" s="6"/>
      <c r="F37" s="6"/>
      <c r="G37" s="8"/>
      <c r="H37" s="28">
        <f>SUM(H35:H36)</f>
        <v>0.2043</v>
      </c>
      <c r="I37" s="81">
        <f>SUM(I35:I36)</f>
        <v>357.35</v>
      </c>
      <c r="J37" s="86"/>
      <c r="K37" s="68" t="s">
        <v>53</v>
      </c>
      <c r="L37" s="69">
        <f>L19</f>
        <v>4281.75</v>
      </c>
    </row>
    <row r="38" ht="15.75" customHeight="1" spans="1:12">
      <c r="A38" s="29" t="s">
        <v>87</v>
      </c>
      <c r="B38" s="30"/>
      <c r="C38" s="30"/>
      <c r="D38" s="30"/>
      <c r="E38" s="30"/>
      <c r="F38" s="30"/>
      <c r="G38" s="31" t="s">
        <v>88</v>
      </c>
      <c r="H38" s="6"/>
      <c r="I38" s="87">
        <f>I31</f>
        <v>1749.15</v>
      </c>
      <c r="J38" s="88"/>
      <c r="K38" s="71" t="s">
        <v>59</v>
      </c>
      <c r="L38" s="72">
        <f>L37*L36</f>
        <v>214.0875</v>
      </c>
    </row>
    <row r="39" ht="15.75" customHeight="1" spans="1:12">
      <c r="A39" s="32"/>
      <c r="B39" s="29"/>
      <c r="C39" s="29"/>
      <c r="D39" s="29"/>
      <c r="E39" s="29"/>
      <c r="F39" s="33"/>
      <c r="G39" s="31" t="s">
        <v>89</v>
      </c>
      <c r="H39" s="6"/>
      <c r="I39" s="87">
        <f>I37</f>
        <v>357.35</v>
      </c>
      <c r="J39" s="89"/>
      <c r="K39" s="90" t="s">
        <v>90</v>
      </c>
      <c r="L39" s="91">
        <f>L21+L26+L29+L32+L35+L38</f>
        <v>837.9217</v>
      </c>
    </row>
    <row r="40" ht="15.75" customHeight="1" spans="1:12">
      <c r="A40" s="34"/>
      <c r="B40" s="35"/>
      <c r="C40" s="35"/>
      <c r="D40" s="35"/>
      <c r="E40" s="35"/>
      <c r="F40" s="35"/>
      <c r="G40" s="31" t="s">
        <v>91</v>
      </c>
      <c r="H40" s="6"/>
      <c r="I40" s="87">
        <f>SUM(I38:I39)</f>
        <v>2106.5</v>
      </c>
      <c r="J40" s="88"/>
      <c r="K40" s="92"/>
      <c r="L40" s="92"/>
    </row>
    <row r="41" ht="15.75" customHeight="1" spans="1:12">
      <c r="A41" s="11" t="s">
        <v>92</v>
      </c>
      <c r="B41" s="6"/>
      <c r="C41" s="6"/>
      <c r="D41" s="6"/>
      <c r="E41" s="6"/>
      <c r="F41" s="6"/>
      <c r="G41" s="8"/>
      <c r="H41" s="24" t="s">
        <v>64</v>
      </c>
      <c r="I41" s="24" t="s">
        <v>65</v>
      </c>
      <c r="J41" s="88"/>
      <c r="K41" s="93" t="s">
        <v>93</v>
      </c>
      <c r="L41" s="94"/>
    </row>
    <row r="42" ht="15.75" customHeight="1" spans="1:12">
      <c r="A42" s="25" t="s">
        <v>23</v>
      </c>
      <c r="B42" s="13" t="s">
        <v>94</v>
      </c>
      <c r="C42" s="6"/>
      <c r="D42" s="6"/>
      <c r="E42" s="6"/>
      <c r="F42" s="6"/>
      <c r="G42" s="8"/>
      <c r="H42" s="27">
        <v>0.2</v>
      </c>
      <c r="I42" s="85">
        <f t="shared" ref="I42:I49" si="0">ROUND($I$40*H42,2)</f>
        <v>421.3</v>
      </c>
      <c r="J42" s="95" t="s">
        <v>95</v>
      </c>
      <c r="K42" s="96" t="s">
        <v>96</v>
      </c>
      <c r="L42" s="97"/>
    </row>
    <row r="43" ht="15.75" customHeight="1" spans="1:12">
      <c r="A43" s="25" t="s">
        <v>26</v>
      </c>
      <c r="B43" s="13" t="s">
        <v>97</v>
      </c>
      <c r="C43" s="6"/>
      <c r="D43" s="6"/>
      <c r="E43" s="6"/>
      <c r="F43" s="6"/>
      <c r="G43" s="8"/>
      <c r="H43" s="27">
        <v>0.025</v>
      </c>
      <c r="I43" s="85">
        <f t="shared" si="0"/>
        <v>52.66</v>
      </c>
      <c r="J43" s="82">
        <f t="shared" ref="J43:J49" si="1">$I$31*H43</f>
        <v>43.72875</v>
      </c>
      <c r="K43" s="98" t="s">
        <v>96</v>
      </c>
      <c r="L43" s="99">
        <f>L10+L39</f>
        <v>3980.6627</v>
      </c>
    </row>
    <row r="44" ht="15.75" customHeight="1" spans="1:12">
      <c r="A44" s="25" t="s">
        <v>30</v>
      </c>
      <c r="B44" s="13" t="s">
        <v>98</v>
      </c>
      <c r="C44" s="6"/>
      <c r="D44" s="6"/>
      <c r="E44" s="6"/>
      <c r="F44" s="6"/>
      <c r="G44" s="8"/>
      <c r="H44" s="36">
        <v>0.02</v>
      </c>
      <c r="I44" s="85">
        <f t="shared" si="0"/>
        <v>42.13</v>
      </c>
      <c r="J44" s="95" t="s">
        <v>95</v>
      </c>
      <c r="K44" s="56"/>
      <c r="L44" s="100"/>
    </row>
    <row r="45" ht="15.75" customHeight="1" spans="1:12">
      <c r="A45" s="25" t="s">
        <v>34</v>
      </c>
      <c r="B45" s="13" t="s">
        <v>99</v>
      </c>
      <c r="C45" s="6"/>
      <c r="D45" s="6"/>
      <c r="E45" s="6"/>
      <c r="F45" s="6"/>
      <c r="G45" s="8"/>
      <c r="H45" s="27">
        <v>0.015</v>
      </c>
      <c r="I45" s="85">
        <f t="shared" si="0"/>
        <v>31.6</v>
      </c>
      <c r="J45" s="82">
        <f t="shared" si="1"/>
        <v>26.23725</v>
      </c>
      <c r="K45" s="56"/>
      <c r="L45" s="100"/>
    </row>
    <row r="46" ht="15.75" customHeight="1" spans="1:12">
      <c r="A46" s="25" t="s">
        <v>74</v>
      </c>
      <c r="B46" s="13" t="s">
        <v>100</v>
      </c>
      <c r="C46" s="6"/>
      <c r="D46" s="6"/>
      <c r="E46" s="6"/>
      <c r="F46" s="6"/>
      <c r="G46" s="8"/>
      <c r="H46" s="27">
        <v>0.01</v>
      </c>
      <c r="I46" s="85">
        <f t="shared" si="0"/>
        <v>21.07</v>
      </c>
      <c r="J46" s="82">
        <f t="shared" si="1"/>
        <v>17.4915</v>
      </c>
      <c r="K46" s="56"/>
      <c r="L46" s="100"/>
    </row>
    <row r="47" ht="15.75" customHeight="1" spans="1:12">
      <c r="A47" s="25" t="s">
        <v>76</v>
      </c>
      <c r="B47" s="13" t="s">
        <v>101</v>
      </c>
      <c r="C47" s="6"/>
      <c r="D47" s="6"/>
      <c r="E47" s="6"/>
      <c r="F47" s="6"/>
      <c r="G47" s="8"/>
      <c r="H47" s="27">
        <v>0.006</v>
      </c>
      <c r="I47" s="85">
        <f t="shared" si="0"/>
        <v>12.64</v>
      </c>
      <c r="J47" s="82">
        <f t="shared" si="1"/>
        <v>10.4949</v>
      </c>
      <c r="K47" s="56"/>
      <c r="L47" s="100"/>
    </row>
    <row r="48" ht="15.75" customHeight="1" spans="1:12">
      <c r="A48" s="25" t="s">
        <v>102</v>
      </c>
      <c r="B48" s="13" t="s">
        <v>103</v>
      </c>
      <c r="C48" s="6"/>
      <c r="D48" s="6"/>
      <c r="E48" s="6"/>
      <c r="F48" s="6"/>
      <c r="G48" s="8"/>
      <c r="H48" s="27">
        <v>0.002</v>
      </c>
      <c r="I48" s="85">
        <f t="shared" si="0"/>
        <v>4.21</v>
      </c>
      <c r="J48" s="82">
        <f t="shared" si="1"/>
        <v>3.4983</v>
      </c>
      <c r="K48" s="56"/>
      <c r="L48" s="100"/>
    </row>
    <row r="49" ht="15.75" customHeight="1" spans="1:12">
      <c r="A49" s="25" t="s">
        <v>104</v>
      </c>
      <c r="B49" s="13" t="s">
        <v>105</v>
      </c>
      <c r="C49" s="6"/>
      <c r="D49" s="6"/>
      <c r="E49" s="6"/>
      <c r="F49" s="6"/>
      <c r="G49" s="8"/>
      <c r="H49" s="27">
        <v>0.08</v>
      </c>
      <c r="I49" s="85">
        <f t="shared" si="0"/>
        <v>168.52</v>
      </c>
      <c r="J49" s="82">
        <f t="shared" si="1"/>
        <v>139.932</v>
      </c>
      <c r="K49" s="101" t="s">
        <v>106</v>
      </c>
      <c r="L49" s="101"/>
    </row>
    <row r="50" ht="15.75" customHeight="1" spans="1:12">
      <c r="A50" s="11" t="s">
        <v>107</v>
      </c>
      <c r="B50" s="6"/>
      <c r="C50" s="6"/>
      <c r="D50" s="6"/>
      <c r="E50" s="6"/>
      <c r="F50" s="6"/>
      <c r="G50" s="8"/>
      <c r="H50" s="28">
        <f>SUM(H42:H49)</f>
        <v>0.358</v>
      </c>
      <c r="I50" s="81">
        <f>SUM(I42:I49)</f>
        <v>754.13</v>
      </c>
      <c r="J50" s="89"/>
      <c r="K50" s="102" t="s">
        <v>108</v>
      </c>
      <c r="L50" s="102"/>
    </row>
    <row r="51" ht="15.75" customHeight="1" spans="1:12">
      <c r="A51" s="37"/>
      <c r="B51" s="6"/>
      <c r="C51" s="6"/>
      <c r="D51" s="6"/>
      <c r="E51" s="6"/>
      <c r="F51" s="6"/>
      <c r="G51" s="6"/>
      <c r="H51" s="6"/>
      <c r="I51" s="8"/>
      <c r="J51" s="89"/>
      <c r="K51" s="103" t="s">
        <v>109</v>
      </c>
      <c r="L51" s="104">
        <v>12</v>
      </c>
    </row>
    <row r="52" ht="15.75" customHeight="1" spans="1:12">
      <c r="A52" s="11" t="s">
        <v>110</v>
      </c>
      <c r="B52" s="6"/>
      <c r="C52" s="6"/>
      <c r="D52" s="6"/>
      <c r="E52" s="6"/>
      <c r="F52" s="6"/>
      <c r="G52" s="8"/>
      <c r="H52" s="28"/>
      <c r="I52" s="24" t="s">
        <v>65</v>
      </c>
      <c r="J52" s="89"/>
      <c r="K52" s="105" t="s">
        <v>111</v>
      </c>
      <c r="L52" s="106">
        <f>L43</f>
        <v>3980.6627</v>
      </c>
    </row>
    <row r="53" ht="15.75" customHeight="1" spans="1:12">
      <c r="A53" s="25" t="s">
        <v>23</v>
      </c>
      <c r="B53" s="22" t="s">
        <v>112</v>
      </c>
      <c r="C53" s="6"/>
      <c r="D53" s="6"/>
      <c r="E53" s="6"/>
      <c r="F53" s="6"/>
      <c r="G53" s="8"/>
      <c r="H53" s="38">
        <v>4</v>
      </c>
      <c r="I53" s="78">
        <f>ROUND((H53*2*26)-0.06*I25,2)</f>
        <v>121.27</v>
      </c>
      <c r="J53" s="82">
        <f t="shared" ref="J53:J56" si="2">I53</f>
        <v>121.27</v>
      </c>
      <c r="K53" s="105"/>
      <c r="L53" s="106"/>
    </row>
    <row r="54" ht="15.75" customHeight="1" spans="1:12">
      <c r="A54" s="25" t="s">
        <v>26</v>
      </c>
      <c r="B54" s="22" t="s">
        <v>113</v>
      </c>
      <c r="C54" s="6"/>
      <c r="D54" s="6"/>
      <c r="E54" s="6"/>
      <c r="F54" s="6"/>
      <c r="G54" s="8"/>
      <c r="H54" s="12" t="s">
        <v>114</v>
      </c>
      <c r="I54" s="80">
        <v>440.77</v>
      </c>
      <c r="J54" s="82">
        <f t="shared" si="2"/>
        <v>440.77</v>
      </c>
      <c r="K54" s="105"/>
      <c r="L54" s="106"/>
    </row>
    <row r="55" ht="15.75" customHeight="1" spans="1:12">
      <c r="A55" s="39" t="s">
        <v>30</v>
      </c>
      <c r="B55" s="40" t="s">
        <v>115</v>
      </c>
      <c r="C55" s="6"/>
      <c r="D55" s="6"/>
      <c r="E55" s="6"/>
      <c r="F55" s="6"/>
      <c r="G55" s="8"/>
      <c r="H55" s="41" t="s">
        <v>114</v>
      </c>
      <c r="I55" s="80">
        <v>46.35</v>
      </c>
      <c r="J55" s="82">
        <f t="shared" si="2"/>
        <v>46.35</v>
      </c>
      <c r="K55" s="107" t="s">
        <v>116</v>
      </c>
      <c r="L55" s="106">
        <f>I141</f>
        <v>4281.75</v>
      </c>
    </row>
    <row r="56" ht="15.75" customHeight="1" spans="1:12">
      <c r="A56" s="25" t="s">
        <v>34</v>
      </c>
      <c r="B56" s="22" t="s">
        <v>117</v>
      </c>
      <c r="C56" s="6"/>
      <c r="D56" s="6"/>
      <c r="E56" s="6"/>
      <c r="F56" s="6"/>
      <c r="G56" s="8"/>
      <c r="H56" s="12" t="s">
        <v>114</v>
      </c>
      <c r="I56" s="78">
        <f>ROUND((I25*26)*0.002/12,2)</f>
        <v>6.26</v>
      </c>
      <c r="J56" s="82">
        <f t="shared" si="2"/>
        <v>6.26</v>
      </c>
      <c r="K56" s="108" t="s">
        <v>118</v>
      </c>
      <c r="L56" s="109">
        <f>L43</f>
        <v>3980.6627</v>
      </c>
    </row>
    <row r="57" ht="15.75" customHeight="1" spans="1:12">
      <c r="A57" s="11" t="s">
        <v>119</v>
      </c>
      <c r="B57" s="6"/>
      <c r="C57" s="6"/>
      <c r="D57" s="6"/>
      <c r="E57" s="6"/>
      <c r="F57" s="6"/>
      <c r="G57" s="6"/>
      <c r="H57" s="8"/>
      <c r="I57" s="81">
        <f>SUM(I53:I56)</f>
        <v>614.65</v>
      </c>
      <c r="J57" s="86"/>
      <c r="K57" s="110" t="s">
        <v>120</v>
      </c>
      <c r="L57" s="111">
        <f>L55-L56</f>
        <v>301.087299999999</v>
      </c>
    </row>
    <row r="58" ht="15.75" customHeight="1" spans="1:12">
      <c r="A58" s="37"/>
      <c r="B58" s="6"/>
      <c r="C58" s="6"/>
      <c r="D58" s="6"/>
      <c r="E58" s="6"/>
      <c r="F58" s="6"/>
      <c r="G58" s="6"/>
      <c r="H58" s="6"/>
      <c r="I58" s="8"/>
      <c r="J58" s="86"/>
      <c r="K58" s="112" t="s">
        <v>121</v>
      </c>
      <c r="L58" s="113">
        <f>SUM(I70:I73,I98,I106,I115)</f>
        <v>311.14</v>
      </c>
    </row>
    <row r="59" ht="15.75" customHeight="1" spans="1:12">
      <c r="A59" s="11" t="s">
        <v>122</v>
      </c>
      <c r="B59" s="6"/>
      <c r="C59" s="6"/>
      <c r="D59" s="6"/>
      <c r="E59" s="6"/>
      <c r="F59" s="6"/>
      <c r="G59" s="6"/>
      <c r="H59" s="6"/>
      <c r="I59" s="8"/>
      <c r="J59" s="86"/>
      <c r="K59" s="112" t="s">
        <v>123</v>
      </c>
      <c r="L59" s="114">
        <f>L57-L58</f>
        <v>-10.0527000000008</v>
      </c>
    </row>
    <row r="60" ht="15.75" customHeight="1" spans="1:12">
      <c r="A60" s="11" t="s">
        <v>124</v>
      </c>
      <c r="B60" s="6"/>
      <c r="C60" s="6"/>
      <c r="D60" s="6"/>
      <c r="E60" s="6"/>
      <c r="F60" s="6"/>
      <c r="G60" s="6"/>
      <c r="H60" s="8"/>
      <c r="I60" s="24" t="s">
        <v>65</v>
      </c>
      <c r="J60" s="86"/>
      <c r="K60" s="115" t="s">
        <v>125</v>
      </c>
      <c r="L60" s="116">
        <f>ROUND(L59*L51,2)</f>
        <v>-120.63</v>
      </c>
    </row>
    <row r="61" ht="15.75" customHeight="1" spans="1:12">
      <c r="A61" s="25" t="s">
        <v>126</v>
      </c>
      <c r="B61" s="15" t="s">
        <v>127</v>
      </c>
      <c r="C61" s="6"/>
      <c r="D61" s="6"/>
      <c r="E61" s="6"/>
      <c r="F61" s="6"/>
      <c r="G61" s="6"/>
      <c r="H61" s="8"/>
      <c r="I61" s="85">
        <f>I37</f>
        <v>357.35</v>
      </c>
      <c r="J61" s="86"/>
      <c r="K61" s="115" t="s">
        <v>128</v>
      </c>
      <c r="L61" s="116">
        <f>ROUND((L59*12)*L51,2)</f>
        <v>-1447.59</v>
      </c>
    </row>
    <row r="62" ht="15.75" customHeight="1" spans="1:12">
      <c r="A62" s="25" t="s">
        <v>129</v>
      </c>
      <c r="B62" s="15" t="s">
        <v>130</v>
      </c>
      <c r="C62" s="6"/>
      <c r="D62" s="6"/>
      <c r="E62" s="6"/>
      <c r="F62" s="6"/>
      <c r="G62" s="6"/>
      <c r="H62" s="8"/>
      <c r="I62" s="85">
        <f>I50</f>
        <v>754.13</v>
      </c>
      <c r="J62" s="86"/>
      <c r="K62" s="117" t="s">
        <v>131</v>
      </c>
      <c r="L62" s="117"/>
    </row>
    <row r="63" ht="15.75" customHeight="1" spans="1:12">
      <c r="A63" s="25" t="s">
        <v>132</v>
      </c>
      <c r="B63" s="15" t="s">
        <v>133</v>
      </c>
      <c r="C63" s="6"/>
      <c r="D63" s="6"/>
      <c r="E63" s="6"/>
      <c r="F63" s="6"/>
      <c r="G63" s="6"/>
      <c r="H63" s="8"/>
      <c r="I63" s="85">
        <f>I57</f>
        <v>614.65</v>
      </c>
      <c r="J63" s="86"/>
      <c r="K63" s="117"/>
      <c r="L63" s="117"/>
    </row>
    <row r="64" ht="15.75" customHeight="1" spans="1:12">
      <c r="A64" s="11" t="s">
        <v>134</v>
      </c>
      <c r="B64" s="6"/>
      <c r="C64" s="6"/>
      <c r="D64" s="6"/>
      <c r="E64" s="6"/>
      <c r="F64" s="6"/>
      <c r="G64" s="6"/>
      <c r="H64" s="8"/>
      <c r="I64" s="81">
        <f>SUM(I61:I63)</f>
        <v>1726.13</v>
      </c>
      <c r="J64" s="86"/>
      <c r="K64" s="117"/>
      <c r="L64" s="117"/>
    </row>
    <row r="65" ht="15.75" customHeight="1" spans="1:12">
      <c r="A65" s="118" t="s">
        <v>135</v>
      </c>
      <c r="B65" s="30"/>
      <c r="C65" s="30"/>
      <c r="D65" s="30"/>
      <c r="E65" s="30"/>
      <c r="F65" s="30"/>
      <c r="G65" s="31" t="s">
        <v>88</v>
      </c>
      <c r="H65" s="6"/>
      <c r="I65" s="87">
        <f>I31</f>
        <v>1749.15</v>
      </c>
      <c r="J65" s="86"/>
      <c r="K65" s="117"/>
      <c r="L65" s="117"/>
    </row>
    <row r="66" ht="15.75" customHeight="1" spans="1:12">
      <c r="A66" s="32"/>
      <c r="B66" s="118"/>
      <c r="C66" s="118"/>
      <c r="D66" s="118"/>
      <c r="E66" s="118"/>
      <c r="F66" s="33"/>
      <c r="G66" s="31" t="s">
        <v>136</v>
      </c>
      <c r="H66" s="6"/>
      <c r="I66" s="87">
        <f>I64</f>
        <v>1726.13</v>
      </c>
      <c r="J66" s="86"/>
      <c r="K66" s="117"/>
      <c r="L66" s="117"/>
    </row>
    <row r="67" ht="27.75" customHeight="1" spans="1:12">
      <c r="A67" s="34"/>
      <c r="B67" s="35"/>
      <c r="C67" s="35"/>
      <c r="D67" s="35"/>
      <c r="E67" s="35"/>
      <c r="F67" s="35"/>
      <c r="G67" s="31" t="s">
        <v>91</v>
      </c>
      <c r="H67" s="6"/>
      <c r="I67" s="87">
        <f>SUM(I65:I66)</f>
        <v>3475.28</v>
      </c>
      <c r="J67" s="86"/>
      <c r="K67" s="117"/>
      <c r="L67" s="117"/>
    </row>
    <row r="68" ht="15.75" customHeight="1" spans="1:12">
      <c r="A68" s="11" t="s">
        <v>137</v>
      </c>
      <c r="B68" s="6"/>
      <c r="C68" s="6"/>
      <c r="D68" s="6"/>
      <c r="E68" s="6"/>
      <c r="F68" s="6"/>
      <c r="G68" s="6"/>
      <c r="H68" s="6"/>
      <c r="I68" s="8"/>
      <c r="J68" s="86"/>
      <c r="K68" s="117"/>
      <c r="L68" s="117"/>
    </row>
    <row r="69" ht="15.75" customHeight="1" spans="1:12">
      <c r="A69" s="25">
        <v>3</v>
      </c>
      <c r="B69" s="11" t="s">
        <v>138</v>
      </c>
      <c r="C69" s="6"/>
      <c r="D69" s="6"/>
      <c r="E69" s="6"/>
      <c r="F69" s="6"/>
      <c r="G69" s="8"/>
      <c r="H69" s="24" t="s">
        <v>64</v>
      </c>
      <c r="I69" s="24" t="s">
        <v>65</v>
      </c>
      <c r="J69" s="86"/>
      <c r="K69" s="117"/>
      <c r="L69" s="117"/>
    </row>
    <row r="70" ht="15.75" customHeight="1" spans="1:12">
      <c r="A70" s="25" t="s">
        <v>23</v>
      </c>
      <c r="B70" s="13" t="s">
        <v>139</v>
      </c>
      <c r="C70" s="6"/>
      <c r="D70" s="6"/>
      <c r="E70" s="6"/>
      <c r="F70" s="6"/>
      <c r="G70" s="8"/>
      <c r="H70" s="27">
        <f>ROUND(((1/12)*5%),4)</f>
        <v>0.0042</v>
      </c>
      <c r="I70" s="85">
        <f t="shared" ref="I70:I74" si="3">ROUND(H70*$I$67,2)</f>
        <v>14.6</v>
      </c>
      <c r="J70" s="86"/>
      <c r="K70" s="117"/>
      <c r="L70" s="117"/>
    </row>
    <row r="71" ht="15.75" customHeight="1" spans="1:12">
      <c r="A71" s="25" t="s">
        <v>26</v>
      </c>
      <c r="B71" s="13" t="s">
        <v>140</v>
      </c>
      <c r="C71" s="6"/>
      <c r="D71" s="6"/>
      <c r="E71" s="6"/>
      <c r="F71" s="6"/>
      <c r="G71" s="8"/>
      <c r="H71" s="27">
        <f>TRUNC(H70*H49,4)</f>
        <v>0.0003</v>
      </c>
      <c r="I71" s="85">
        <f t="shared" si="3"/>
        <v>1.04</v>
      </c>
      <c r="J71" s="86"/>
      <c r="K71" s="117"/>
      <c r="L71" s="117"/>
    </row>
    <row r="72" ht="15.75" customHeight="1" spans="1:12">
      <c r="A72" s="25" t="s">
        <v>30</v>
      </c>
      <c r="B72" s="13" t="s">
        <v>141</v>
      </c>
      <c r="C72" s="6"/>
      <c r="D72" s="6"/>
      <c r="E72" s="6"/>
      <c r="F72" s="6"/>
      <c r="G72" s="8"/>
      <c r="H72" s="27">
        <f>ROUND(((7/30)/12)*95%,4)</f>
        <v>0.0185</v>
      </c>
      <c r="I72" s="85">
        <f t="shared" si="3"/>
        <v>64.29</v>
      </c>
      <c r="J72" s="86"/>
      <c r="K72" s="56"/>
      <c r="L72" s="56"/>
    </row>
    <row r="73" ht="15.75" customHeight="1" spans="1:12">
      <c r="A73" s="25" t="s">
        <v>34</v>
      </c>
      <c r="B73" s="119" t="s">
        <v>142</v>
      </c>
      <c r="C73" s="6"/>
      <c r="D73" s="6"/>
      <c r="E73" s="6"/>
      <c r="F73" s="6"/>
      <c r="G73" s="8"/>
      <c r="H73" s="27">
        <f>ROUND(H72*H50,4)</f>
        <v>0.0066</v>
      </c>
      <c r="I73" s="85">
        <f t="shared" si="3"/>
        <v>22.94</v>
      </c>
      <c r="J73" s="86"/>
      <c r="K73" s="56"/>
      <c r="L73" s="56"/>
    </row>
    <row r="74" ht="15.75" customHeight="1" spans="1:12">
      <c r="A74" s="25" t="s">
        <v>74</v>
      </c>
      <c r="B74" s="13" t="s">
        <v>143</v>
      </c>
      <c r="C74" s="6"/>
      <c r="D74" s="6"/>
      <c r="E74" s="6"/>
      <c r="F74" s="6"/>
      <c r="G74" s="8"/>
      <c r="H74" s="27">
        <v>0.04</v>
      </c>
      <c r="I74" s="85">
        <f t="shared" si="3"/>
        <v>139.01</v>
      </c>
      <c r="J74" s="82">
        <f>I74</f>
        <v>139.01</v>
      </c>
      <c r="K74" s="56"/>
      <c r="L74" s="56"/>
    </row>
    <row r="75" ht="15.75" customHeight="1" spans="1:12">
      <c r="A75" s="11" t="s">
        <v>144</v>
      </c>
      <c r="B75" s="6"/>
      <c r="C75" s="6"/>
      <c r="D75" s="6"/>
      <c r="E75" s="6"/>
      <c r="F75" s="6"/>
      <c r="G75" s="8"/>
      <c r="H75" s="28">
        <f>SUM(H70:H74)</f>
        <v>0.0696</v>
      </c>
      <c r="I75" s="81">
        <f>SUM(I70:I74)</f>
        <v>241.88</v>
      </c>
      <c r="J75" s="86"/>
      <c r="K75" s="141"/>
      <c r="L75" s="56"/>
    </row>
    <row r="76" ht="15.75" customHeight="1" spans="1:12">
      <c r="A76" s="29" t="s">
        <v>145</v>
      </c>
      <c r="B76" s="30"/>
      <c r="C76" s="30"/>
      <c r="D76" s="30"/>
      <c r="E76" s="30"/>
      <c r="F76" s="30"/>
      <c r="G76" s="31" t="s">
        <v>88</v>
      </c>
      <c r="H76" s="6"/>
      <c r="I76" s="87">
        <f>I31</f>
        <v>1749.15</v>
      </c>
      <c r="J76" s="86"/>
      <c r="K76" s="141"/>
      <c r="L76" s="56"/>
    </row>
    <row r="77" ht="15.75" customHeight="1" spans="1:12">
      <c r="A77" s="32"/>
      <c r="B77" s="29"/>
      <c r="C77" s="29"/>
      <c r="D77" s="29"/>
      <c r="E77" s="29"/>
      <c r="F77" s="33"/>
      <c r="G77" s="31" t="s">
        <v>136</v>
      </c>
      <c r="H77" s="6"/>
      <c r="I77" s="87">
        <f>I64</f>
        <v>1726.13</v>
      </c>
      <c r="J77" s="86"/>
      <c r="K77" s="141"/>
      <c r="L77" s="56"/>
    </row>
    <row r="78" ht="15.75" customHeight="1" spans="1:12">
      <c r="A78" s="32"/>
      <c r="B78" s="29"/>
      <c r="C78" s="29"/>
      <c r="D78" s="29"/>
      <c r="E78" s="29"/>
      <c r="F78" s="33"/>
      <c r="G78" s="31" t="s">
        <v>146</v>
      </c>
      <c r="H78" s="6"/>
      <c r="I78" s="87">
        <f>I75</f>
        <v>241.88</v>
      </c>
      <c r="J78" s="86"/>
      <c r="K78" s="141"/>
      <c r="L78" s="56"/>
    </row>
    <row r="79" ht="15.75" customHeight="1" spans="1:12">
      <c r="A79" s="32"/>
      <c r="B79" s="33"/>
      <c r="C79" s="33"/>
      <c r="D79" s="33"/>
      <c r="E79" s="33"/>
      <c r="F79" s="33"/>
      <c r="G79" s="31" t="s">
        <v>91</v>
      </c>
      <c r="H79" s="6"/>
      <c r="I79" s="87">
        <f>SUM(I76:I78)</f>
        <v>3717.16</v>
      </c>
      <c r="J79" s="86"/>
      <c r="K79" s="141"/>
      <c r="L79" s="56"/>
    </row>
    <row r="80" ht="15.75" customHeight="1" spans="1:12">
      <c r="A80" s="11" t="s">
        <v>147</v>
      </c>
      <c r="B80" s="6"/>
      <c r="C80" s="6"/>
      <c r="D80" s="6"/>
      <c r="E80" s="6"/>
      <c r="F80" s="6"/>
      <c r="G80" s="6"/>
      <c r="H80" s="6"/>
      <c r="I80" s="8"/>
      <c r="J80" s="83"/>
      <c r="K80" s="141"/>
      <c r="L80" s="56"/>
    </row>
    <row r="81" ht="15.75" customHeight="1" spans="1:12">
      <c r="A81" s="11" t="s">
        <v>148</v>
      </c>
      <c r="B81" s="6"/>
      <c r="C81" s="6"/>
      <c r="D81" s="6"/>
      <c r="E81" s="6"/>
      <c r="F81" s="6"/>
      <c r="G81" s="8"/>
      <c r="H81" s="24" t="s">
        <v>64</v>
      </c>
      <c r="I81" s="24" t="s">
        <v>65</v>
      </c>
      <c r="J81" s="86"/>
      <c r="K81" s="141"/>
      <c r="L81" s="142"/>
    </row>
    <row r="82" ht="15.75" customHeight="1" spans="1:12">
      <c r="A82" s="25" t="s">
        <v>23</v>
      </c>
      <c r="B82" s="13" t="s">
        <v>149</v>
      </c>
      <c r="C82" s="6"/>
      <c r="D82" s="6"/>
      <c r="E82" s="6"/>
      <c r="F82" s="6"/>
      <c r="G82" s="8"/>
      <c r="H82" s="27">
        <f>ROUND(((1+1/3)/12)/12,4)</f>
        <v>0.0093</v>
      </c>
      <c r="I82" s="85">
        <f t="shared" ref="I82:I87" si="4">ROUND(H82*$I$79,2)</f>
        <v>34.57</v>
      </c>
      <c r="J82" s="86"/>
      <c r="K82" s="141"/>
      <c r="L82" s="56"/>
    </row>
    <row r="83" ht="15.75" customHeight="1" spans="1:12">
      <c r="A83" s="25" t="s">
        <v>26</v>
      </c>
      <c r="B83" s="13" t="s">
        <v>150</v>
      </c>
      <c r="C83" s="6"/>
      <c r="D83" s="6"/>
      <c r="E83" s="6"/>
      <c r="F83" s="6"/>
      <c r="G83" s="8"/>
      <c r="H83" s="27">
        <f>ROUND(2/30/12,4)</f>
        <v>0.0056</v>
      </c>
      <c r="I83" s="85">
        <f t="shared" si="4"/>
        <v>20.82</v>
      </c>
      <c r="J83" s="86"/>
      <c r="K83" s="56"/>
      <c r="L83" s="56"/>
    </row>
    <row r="84" ht="15.75" customHeight="1" spans="1:12">
      <c r="A84" s="25" t="s">
        <v>30</v>
      </c>
      <c r="B84" s="13" t="s">
        <v>151</v>
      </c>
      <c r="C84" s="6"/>
      <c r="D84" s="6"/>
      <c r="E84" s="6"/>
      <c r="F84" s="6"/>
      <c r="G84" s="8"/>
      <c r="H84" s="27">
        <f>ROUND(((5/30)/12)*2%,4)</f>
        <v>0.0003</v>
      </c>
      <c r="I84" s="85">
        <f t="shared" si="4"/>
        <v>1.12</v>
      </c>
      <c r="J84" s="86"/>
      <c r="K84" s="56"/>
      <c r="L84" s="56"/>
    </row>
    <row r="85" ht="15.75" customHeight="1" spans="1:12">
      <c r="A85" s="25" t="s">
        <v>34</v>
      </c>
      <c r="B85" s="13" t="s">
        <v>152</v>
      </c>
      <c r="C85" s="6"/>
      <c r="D85" s="6"/>
      <c r="E85" s="6"/>
      <c r="F85" s="6"/>
      <c r="G85" s="8"/>
      <c r="H85" s="27">
        <f>ROUND(((15/30)/12)*8%,4)</f>
        <v>0.0033</v>
      </c>
      <c r="I85" s="85">
        <f t="shared" si="4"/>
        <v>12.27</v>
      </c>
      <c r="J85" s="86"/>
      <c r="K85" s="56"/>
      <c r="L85" s="56"/>
    </row>
    <row r="86" ht="15.75" customHeight="1" spans="1:12">
      <c r="A86" s="25" t="s">
        <v>74</v>
      </c>
      <c r="B86" s="13" t="s">
        <v>153</v>
      </c>
      <c r="C86" s="6"/>
      <c r="D86" s="6"/>
      <c r="E86" s="6"/>
      <c r="F86" s="6"/>
      <c r="G86" s="8"/>
      <c r="H86" s="27">
        <f>ROUND(((1+1/3)/12*4/12)*2%,4)</f>
        <v>0.0007</v>
      </c>
      <c r="I86" s="85">
        <f t="shared" si="4"/>
        <v>2.6</v>
      </c>
      <c r="J86" s="86"/>
      <c r="K86" s="56"/>
      <c r="L86" s="56"/>
    </row>
    <row r="87" ht="15.75" customHeight="1" spans="1:12">
      <c r="A87" s="39" t="s">
        <v>76</v>
      </c>
      <c r="B87" s="120" t="s">
        <v>154</v>
      </c>
      <c r="C87" s="6"/>
      <c r="D87" s="6"/>
      <c r="E87" s="6"/>
      <c r="F87" s="6"/>
      <c r="G87" s="8"/>
      <c r="H87" s="121">
        <v>0</v>
      </c>
      <c r="I87" s="85">
        <f t="shared" si="4"/>
        <v>0</v>
      </c>
      <c r="J87" s="86"/>
      <c r="K87" s="56"/>
      <c r="L87" s="56"/>
    </row>
    <row r="88" ht="15.75" customHeight="1" spans="1:12">
      <c r="A88" s="11" t="s">
        <v>155</v>
      </c>
      <c r="B88" s="6"/>
      <c r="C88" s="6"/>
      <c r="D88" s="6"/>
      <c r="E88" s="6"/>
      <c r="F88" s="6"/>
      <c r="G88" s="8"/>
      <c r="H88" s="28">
        <f>SUM(H82:H87)</f>
        <v>0.0192</v>
      </c>
      <c r="I88" s="81">
        <f>SUM(I82:I87)</f>
        <v>71.38</v>
      </c>
      <c r="J88" s="86"/>
      <c r="K88" s="56"/>
      <c r="L88" s="143"/>
    </row>
    <row r="89" ht="15.75" customHeight="1" spans="1:12">
      <c r="A89" s="37"/>
      <c r="B89" s="6"/>
      <c r="C89" s="6"/>
      <c r="D89" s="6"/>
      <c r="E89" s="6"/>
      <c r="F89" s="6"/>
      <c r="G89" s="6"/>
      <c r="H89" s="6"/>
      <c r="I89" s="8"/>
      <c r="J89" s="86"/>
      <c r="K89" s="144"/>
      <c r="L89" s="56"/>
    </row>
    <row r="90" ht="15.75" customHeight="1" spans="1:12">
      <c r="A90" s="122" t="s">
        <v>156</v>
      </c>
      <c r="B90" s="6"/>
      <c r="C90" s="6"/>
      <c r="D90" s="6"/>
      <c r="E90" s="6"/>
      <c r="F90" s="6"/>
      <c r="G90" s="8"/>
      <c r="H90" s="123" t="s">
        <v>64</v>
      </c>
      <c r="I90" s="123" t="s">
        <v>65</v>
      </c>
      <c r="J90" s="86"/>
      <c r="K90" s="56"/>
      <c r="L90" s="56"/>
    </row>
    <row r="91" ht="15.75" customHeight="1" spans="1:12">
      <c r="A91" s="39" t="s">
        <v>23</v>
      </c>
      <c r="B91" s="120" t="s">
        <v>157</v>
      </c>
      <c r="C91" s="6"/>
      <c r="D91" s="6"/>
      <c r="E91" s="6"/>
      <c r="F91" s="6"/>
      <c r="G91" s="8"/>
      <c r="H91" s="121">
        <v>0</v>
      </c>
      <c r="I91" s="145">
        <f>I31*H91</f>
        <v>0</v>
      </c>
      <c r="J91" s="86"/>
      <c r="K91" s="56"/>
      <c r="L91" s="56"/>
    </row>
    <row r="92" ht="15.75" customHeight="1" spans="1:12">
      <c r="A92" s="122" t="s">
        <v>158</v>
      </c>
      <c r="B92" s="6"/>
      <c r="C92" s="6"/>
      <c r="D92" s="6"/>
      <c r="E92" s="6"/>
      <c r="F92" s="6"/>
      <c r="G92" s="8"/>
      <c r="H92" s="124">
        <f>H91</f>
        <v>0</v>
      </c>
      <c r="I92" s="146">
        <f>I91</f>
        <v>0</v>
      </c>
      <c r="J92" s="86"/>
      <c r="K92" s="147"/>
      <c r="L92" s="56"/>
    </row>
    <row r="93" ht="15.75" customHeight="1" spans="1:12">
      <c r="A93" s="37"/>
      <c r="B93" s="6"/>
      <c r="C93" s="6"/>
      <c r="D93" s="6"/>
      <c r="E93" s="6"/>
      <c r="F93" s="6"/>
      <c r="G93" s="6"/>
      <c r="H93" s="6"/>
      <c r="I93" s="8"/>
      <c r="J93" s="86"/>
      <c r="K93" s="56"/>
      <c r="L93" s="56"/>
    </row>
    <row r="94" ht="15.75" customHeight="1" spans="1:12">
      <c r="A94" s="11" t="s">
        <v>159</v>
      </c>
      <c r="B94" s="6"/>
      <c r="C94" s="6"/>
      <c r="D94" s="6"/>
      <c r="E94" s="6"/>
      <c r="F94" s="6"/>
      <c r="G94" s="6"/>
      <c r="H94" s="6"/>
      <c r="I94" s="8"/>
      <c r="J94" s="86"/>
      <c r="K94" s="56"/>
      <c r="L94" s="56"/>
    </row>
    <row r="95" ht="15.75" customHeight="1" spans="1:12">
      <c r="A95" s="11" t="s">
        <v>160</v>
      </c>
      <c r="B95" s="6"/>
      <c r="C95" s="6"/>
      <c r="D95" s="6"/>
      <c r="E95" s="6"/>
      <c r="F95" s="6"/>
      <c r="G95" s="6"/>
      <c r="H95" s="8"/>
      <c r="I95" s="24" t="s">
        <v>65</v>
      </c>
      <c r="J95" s="86"/>
      <c r="K95" s="56"/>
      <c r="L95" s="56"/>
    </row>
    <row r="96" ht="15.75" customHeight="1" spans="1:12">
      <c r="A96" s="25" t="s">
        <v>161</v>
      </c>
      <c r="B96" s="15" t="s">
        <v>162</v>
      </c>
      <c r="C96" s="6"/>
      <c r="D96" s="6"/>
      <c r="E96" s="6"/>
      <c r="F96" s="6"/>
      <c r="G96" s="6"/>
      <c r="H96" s="8"/>
      <c r="I96" s="85">
        <f>I88</f>
        <v>71.38</v>
      </c>
      <c r="J96" s="86"/>
      <c r="K96" s="56"/>
      <c r="L96" s="56"/>
    </row>
    <row r="97" ht="15.75" customHeight="1" spans="1:12">
      <c r="A97" s="39" t="s">
        <v>163</v>
      </c>
      <c r="B97" s="125" t="s">
        <v>164</v>
      </c>
      <c r="C97" s="6"/>
      <c r="D97" s="6"/>
      <c r="E97" s="6"/>
      <c r="F97" s="6"/>
      <c r="G97" s="6"/>
      <c r="H97" s="8"/>
      <c r="I97" s="145">
        <f>I92</f>
        <v>0</v>
      </c>
      <c r="J97" s="86"/>
      <c r="K97" s="56"/>
      <c r="L97" s="56"/>
    </row>
    <row r="98" ht="15.75" customHeight="1" spans="1:12">
      <c r="A98" s="11" t="s">
        <v>165</v>
      </c>
      <c r="B98" s="6"/>
      <c r="C98" s="6"/>
      <c r="D98" s="6"/>
      <c r="E98" s="6"/>
      <c r="F98" s="6"/>
      <c r="G98" s="6"/>
      <c r="H98" s="8"/>
      <c r="I98" s="81">
        <f>SUM(I96:I97)</f>
        <v>71.38</v>
      </c>
      <c r="J98" s="86"/>
      <c r="K98" s="56"/>
      <c r="L98" s="56"/>
    </row>
    <row r="99" ht="15.75" customHeight="1" spans="1:12">
      <c r="A99" s="37"/>
      <c r="B99" s="6"/>
      <c r="C99" s="6"/>
      <c r="D99" s="6"/>
      <c r="E99" s="6"/>
      <c r="F99" s="6"/>
      <c r="G99" s="6"/>
      <c r="H99" s="6"/>
      <c r="I99" s="8"/>
      <c r="J99" s="86"/>
      <c r="K99" s="56"/>
      <c r="L99" s="56"/>
    </row>
    <row r="100" ht="15.75" customHeight="1" spans="1:12">
      <c r="A100" s="11" t="s">
        <v>166</v>
      </c>
      <c r="B100" s="6"/>
      <c r="C100" s="6"/>
      <c r="D100" s="6"/>
      <c r="E100" s="6"/>
      <c r="F100" s="6"/>
      <c r="G100" s="6"/>
      <c r="H100" s="6"/>
      <c r="I100" s="8"/>
      <c r="J100" s="86"/>
      <c r="K100" s="56"/>
      <c r="L100" s="56"/>
    </row>
    <row r="101" ht="15.75" customHeight="1" spans="1:12">
      <c r="A101" s="24">
        <v>5</v>
      </c>
      <c r="B101" s="11" t="s">
        <v>167</v>
      </c>
      <c r="C101" s="6"/>
      <c r="D101" s="6"/>
      <c r="E101" s="6"/>
      <c r="F101" s="6"/>
      <c r="G101" s="8"/>
      <c r="H101" s="24"/>
      <c r="I101" s="24" t="s">
        <v>65</v>
      </c>
      <c r="J101" s="86"/>
      <c r="K101" s="56"/>
      <c r="L101" s="56"/>
    </row>
    <row r="102" ht="15.75" customHeight="1" spans="1:12">
      <c r="A102" s="126" t="s">
        <v>23</v>
      </c>
      <c r="B102" s="22" t="s">
        <v>168</v>
      </c>
      <c r="C102" s="6"/>
      <c r="D102" s="6"/>
      <c r="E102" s="6"/>
      <c r="F102" s="6"/>
      <c r="G102" s="8"/>
      <c r="H102" s="127" t="s">
        <v>114</v>
      </c>
      <c r="I102" s="85">
        <v>0</v>
      </c>
      <c r="J102" s="86"/>
      <c r="K102" s="56"/>
      <c r="L102" s="56"/>
    </row>
    <row r="103" ht="15.75" customHeight="1" spans="1:12">
      <c r="A103" s="126" t="s">
        <v>26</v>
      </c>
      <c r="B103" s="22" t="s">
        <v>169</v>
      </c>
      <c r="C103" s="6"/>
      <c r="D103" s="6"/>
      <c r="E103" s="6"/>
      <c r="F103" s="6"/>
      <c r="G103" s="8"/>
      <c r="H103" s="127" t="s">
        <v>114</v>
      </c>
      <c r="I103" s="161">
        <v>95.72</v>
      </c>
      <c r="J103" s="86"/>
      <c r="K103" s="56"/>
      <c r="L103" s="56"/>
    </row>
    <row r="104" ht="15.75" customHeight="1" spans="1:12">
      <c r="A104" s="126" t="s">
        <v>30</v>
      </c>
      <c r="B104" s="22" t="s">
        <v>170</v>
      </c>
      <c r="C104" s="6"/>
      <c r="D104" s="6"/>
      <c r="E104" s="6"/>
      <c r="F104" s="6"/>
      <c r="G104" s="8"/>
      <c r="H104" s="127" t="s">
        <v>114</v>
      </c>
      <c r="I104" s="85">
        <v>23.58</v>
      </c>
      <c r="J104" s="86"/>
      <c r="K104" s="56"/>
      <c r="L104" s="56"/>
    </row>
    <row r="105" ht="15.75" customHeight="1" spans="1:12">
      <c r="A105" s="126" t="s">
        <v>34</v>
      </c>
      <c r="B105" s="22" t="s">
        <v>171</v>
      </c>
      <c r="C105" s="6"/>
      <c r="D105" s="6"/>
      <c r="E105" s="6"/>
      <c r="F105" s="6"/>
      <c r="G105" s="8"/>
      <c r="H105" s="128" t="s">
        <v>114</v>
      </c>
      <c r="I105" s="85">
        <v>0</v>
      </c>
      <c r="J105" s="86"/>
      <c r="K105" s="56"/>
      <c r="L105" s="56"/>
    </row>
    <row r="106" ht="15.75" customHeight="1" spans="1:12">
      <c r="A106" s="11" t="s">
        <v>172</v>
      </c>
      <c r="B106" s="6"/>
      <c r="C106" s="6"/>
      <c r="D106" s="6"/>
      <c r="E106" s="6"/>
      <c r="F106" s="6"/>
      <c r="G106" s="8"/>
      <c r="H106" s="28" t="s">
        <v>114</v>
      </c>
      <c r="I106" s="81">
        <f>SUM(I102:I105)</f>
        <v>119.3</v>
      </c>
      <c r="J106" s="86"/>
      <c r="K106" s="56"/>
      <c r="L106" s="56"/>
    </row>
    <row r="107" ht="15.75" customHeight="1" spans="1:12">
      <c r="A107" s="29" t="s">
        <v>173</v>
      </c>
      <c r="B107" s="30"/>
      <c r="C107" s="30"/>
      <c r="D107" s="30"/>
      <c r="E107" s="30"/>
      <c r="F107" s="30"/>
      <c r="G107" s="31" t="s">
        <v>88</v>
      </c>
      <c r="H107" s="6"/>
      <c r="I107" s="87">
        <f>I31</f>
        <v>1749.15</v>
      </c>
      <c r="J107" s="86"/>
      <c r="K107" s="56"/>
      <c r="L107" s="56"/>
    </row>
    <row r="108" ht="15.75" customHeight="1" spans="1:12">
      <c r="A108" s="32"/>
      <c r="B108" s="29"/>
      <c r="C108" s="29"/>
      <c r="D108" s="29"/>
      <c r="E108" s="29"/>
      <c r="F108" s="33"/>
      <c r="G108" s="31" t="s">
        <v>136</v>
      </c>
      <c r="H108" s="6"/>
      <c r="I108" s="87">
        <f>I64</f>
        <v>1726.13</v>
      </c>
      <c r="J108" s="86"/>
      <c r="K108" s="56"/>
      <c r="L108" s="56"/>
    </row>
    <row r="109" ht="15.75" customHeight="1" spans="1:12">
      <c r="A109" s="32"/>
      <c r="B109" s="29"/>
      <c r="C109" s="29"/>
      <c r="D109" s="29"/>
      <c r="E109" s="29"/>
      <c r="F109" s="33"/>
      <c r="G109" s="31" t="s">
        <v>146</v>
      </c>
      <c r="H109" s="6"/>
      <c r="I109" s="87">
        <f>I75</f>
        <v>241.88</v>
      </c>
      <c r="J109" s="86"/>
      <c r="K109" s="56"/>
      <c r="L109" s="56"/>
    </row>
    <row r="110" ht="15.75" customHeight="1" spans="1:12">
      <c r="A110" s="32"/>
      <c r="B110" s="29"/>
      <c r="C110" s="29"/>
      <c r="D110" s="29"/>
      <c r="E110" s="29"/>
      <c r="F110" s="33"/>
      <c r="G110" s="31" t="s">
        <v>174</v>
      </c>
      <c r="H110" s="6"/>
      <c r="I110" s="87">
        <f>I98</f>
        <v>71.38</v>
      </c>
      <c r="J110" s="86"/>
      <c r="K110" s="92"/>
      <c r="L110" s="92"/>
    </row>
    <row r="111" ht="15.75" customHeight="1" spans="1:12">
      <c r="A111" s="32"/>
      <c r="B111" s="29"/>
      <c r="C111" s="29"/>
      <c r="D111" s="29"/>
      <c r="E111" s="29"/>
      <c r="F111" s="33"/>
      <c r="G111" s="31" t="s">
        <v>175</v>
      </c>
      <c r="H111" s="6"/>
      <c r="I111" s="87">
        <f>I106</f>
        <v>119.3</v>
      </c>
      <c r="J111" s="86"/>
      <c r="K111" s="92"/>
      <c r="L111" s="92"/>
    </row>
    <row r="112" ht="15.75" customHeight="1" spans="1:12">
      <c r="A112" s="32"/>
      <c r="B112" s="33"/>
      <c r="C112" s="33"/>
      <c r="D112" s="33"/>
      <c r="E112" s="33"/>
      <c r="F112" s="33"/>
      <c r="G112" s="31" t="s">
        <v>91</v>
      </c>
      <c r="H112" s="6"/>
      <c r="I112" s="87">
        <f>SUM(I107:I111)</f>
        <v>3907.84</v>
      </c>
      <c r="J112" s="86"/>
      <c r="K112" s="56"/>
      <c r="L112" s="56"/>
    </row>
    <row r="113" ht="15.75" customHeight="1" spans="1:12">
      <c r="A113" s="11" t="s">
        <v>176</v>
      </c>
      <c r="B113" s="6"/>
      <c r="C113" s="6"/>
      <c r="D113" s="6"/>
      <c r="E113" s="6"/>
      <c r="F113" s="6"/>
      <c r="G113" s="6"/>
      <c r="H113" s="6"/>
      <c r="I113" s="8"/>
      <c r="J113" s="86"/>
      <c r="K113" s="56"/>
      <c r="L113" s="56"/>
    </row>
    <row r="114" ht="15.75" customHeight="1" spans="1:12">
      <c r="A114" s="24">
        <v>6</v>
      </c>
      <c r="B114" s="11" t="s">
        <v>177</v>
      </c>
      <c r="C114" s="6"/>
      <c r="D114" s="6"/>
      <c r="E114" s="6"/>
      <c r="F114" s="6"/>
      <c r="G114" s="8"/>
      <c r="H114" s="24" t="s">
        <v>64</v>
      </c>
      <c r="I114" s="24" t="s">
        <v>65</v>
      </c>
      <c r="J114" s="86"/>
      <c r="K114" s="56"/>
      <c r="L114" s="56"/>
    </row>
    <row r="115" ht="15.75" customHeight="1" spans="1:12">
      <c r="A115" s="25" t="s">
        <v>23</v>
      </c>
      <c r="B115" s="13" t="s">
        <v>178</v>
      </c>
      <c r="C115" s="6"/>
      <c r="D115" s="6"/>
      <c r="E115" s="6"/>
      <c r="F115" s="6"/>
      <c r="G115" s="8"/>
      <c r="H115" s="129">
        <v>0.0045</v>
      </c>
      <c r="I115" s="85">
        <f>ROUND(H115*I112,2)</f>
        <v>17.59</v>
      </c>
      <c r="J115" s="86"/>
      <c r="K115" s="56"/>
      <c r="L115" s="56"/>
    </row>
    <row r="116" ht="15.75" customHeight="1" spans="1:12">
      <c r="A116" s="25" t="s">
        <v>26</v>
      </c>
      <c r="B116" s="13" t="s">
        <v>179</v>
      </c>
      <c r="C116" s="6"/>
      <c r="D116" s="6"/>
      <c r="E116" s="6"/>
      <c r="F116" s="6"/>
      <c r="G116" s="8"/>
      <c r="H116" s="129">
        <v>0.0022</v>
      </c>
      <c r="I116" s="85">
        <f>ROUND(H116*(I112+I115),2)</f>
        <v>8.64</v>
      </c>
      <c r="J116" s="86"/>
      <c r="K116" s="56"/>
      <c r="L116" s="56"/>
    </row>
    <row r="117" ht="15.75" customHeight="1" spans="1:12">
      <c r="A117" s="25" t="s">
        <v>30</v>
      </c>
      <c r="B117" s="130" t="s">
        <v>180</v>
      </c>
      <c r="C117" s="6"/>
      <c r="D117" s="6"/>
      <c r="E117" s="6"/>
      <c r="F117" s="6"/>
      <c r="G117" s="8"/>
      <c r="H117" s="27"/>
      <c r="I117" s="148"/>
      <c r="J117" s="86"/>
      <c r="K117" s="56"/>
      <c r="L117" s="56"/>
    </row>
    <row r="118" ht="15.75" customHeight="1" spans="1:12">
      <c r="A118" s="25" t="s">
        <v>181</v>
      </c>
      <c r="B118" s="13" t="s">
        <v>182</v>
      </c>
      <c r="C118" s="6"/>
      <c r="D118" s="6"/>
      <c r="E118" s="6"/>
      <c r="F118" s="6"/>
      <c r="G118" s="8"/>
      <c r="H118" s="129">
        <v>0.0055</v>
      </c>
      <c r="I118" s="85">
        <f t="shared" ref="I118:I120" si="5">ROUND($I$128*H118,2)</f>
        <v>23.55</v>
      </c>
      <c r="J118" s="86"/>
      <c r="K118" s="56"/>
      <c r="L118" s="56"/>
    </row>
    <row r="119" ht="15.75" customHeight="1" spans="1:12">
      <c r="A119" s="25" t="s">
        <v>183</v>
      </c>
      <c r="B119" s="13" t="s">
        <v>78</v>
      </c>
      <c r="C119" s="6"/>
      <c r="D119" s="6"/>
      <c r="E119" s="6"/>
      <c r="F119" s="6"/>
      <c r="G119" s="8"/>
      <c r="H119" s="131">
        <v>0.0257</v>
      </c>
      <c r="I119" s="85">
        <f t="shared" si="5"/>
        <v>110.04</v>
      </c>
      <c r="J119" s="86"/>
      <c r="K119" s="56"/>
      <c r="L119" s="56"/>
    </row>
    <row r="120" ht="15.75" customHeight="1" spans="1:12">
      <c r="A120" s="25" t="s">
        <v>184</v>
      </c>
      <c r="B120" s="13" t="s">
        <v>185</v>
      </c>
      <c r="C120" s="6"/>
      <c r="D120" s="6"/>
      <c r="E120" s="6"/>
      <c r="F120" s="6"/>
      <c r="G120" s="8"/>
      <c r="H120" s="132">
        <v>0.05</v>
      </c>
      <c r="I120" s="85">
        <f t="shared" si="5"/>
        <v>214.09</v>
      </c>
      <c r="J120" s="86"/>
      <c r="K120" s="56"/>
      <c r="L120" s="56"/>
    </row>
    <row r="121" ht="15.75" customHeight="1" spans="1:12">
      <c r="A121" s="11" t="s">
        <v>186</v>
      </c>
      <c r="B121" s="6"/>
      <c r="C121" s="6"/>
      <c r="D121" s="6"/>
      <c r="E121" s="6"/>
      <c r="F121" s="6"/>
      <c r="G121" s="8"/>
      <c r="H121" s="133">
        <f>SUM(H115:H120)</f>
        <v>0.0879</v>
      </c>
      <c r="I121" s="81">
        <f>SUM(I115:I120)</f>
        <v>373.91</v>
      </c>
      <c r="J121" s="86"/>
      <c r="K121" s="56"/>
      <c r="L121" s="56"/>
    </row>
    <row r="122" ht="15.75" customHeight="1" spans="1:12">
      <c r="A122" s="7"/>
      <c r="B122" s="33"/>
      <c r="C122" s="33"/>
      <c r="D122" s="33"/>
      <c r="E122" s="33"/>
      <c r="F122" s="33"/>
      <c r="G122" s="33"/>
      <c r="H122" s="160"/>
      <c r="I122" s="162"/>
      <c r="J122" s="86"/>
      <c r="K122" s="56"/>
      <c r="L122" s="56"/>
    </row>
    <row r="123" ht="15.75" customHeight="1" spans="1:12">
      <c r="A123" s="134" t="s">
        <v>187</v>
      </c>
      <c r="B123" s="135" t="s">
        <v>188</v>
      </c>
      <c r="C123" s="135"/>
      <c r="D123" s="135"/>
      <c r="E123" s="135"/>
      <c r="F123" s="135"/>
      <c r="G123" s="135"/>
      <c r="H123" s="136">
        <f>SUM(H118+H119+H120)</f>
        <v>0.0812</v>
      </c>
      <c r="I123" s="149"/>
      <c r="J123" s="86"/>
      <c r="K123" s="56"/>
      <c r="L123" s="56"/>
    </row>
    <row r="124" ht="15.75" customHeight="1" spans="1:12">
      <c r="A124" s="134"/>
      <c r="B124" s="135">
        <v>100</v>
      </c>
      <c r="C124" s="135"/>
      <c r="D124" s="135"/>
      <c r="E124" s="135"/>
      <c r="F124" s="135"/>
      <c r="G124" s="135"/>
      <c r="H124" s="136"/>
      <c r="I124" s="149"/>
      <c r="J124" s="86"/>
      <c r="K124" s="56"/>
      <c r="L124" s="56"/>
    </row>
    <row r="125" ht="15.75" customHeight="1" spans="1:12">
      <c r="A125" s="137"/>
      <c r="B125" s="138"/>
      <c r="C125" s="138"/>
      <c r="D125" s="138"/>
      <c r="E125" s="138"/>
      <c r="F125" s="138"/>
      <c r="G125" s="138"/>
      <c r="H125" s="138"/>
      <c r="I125" s="150"/>
      <c r="J125" s="86"/>
      <c r="K125" s="92"/>
      <c r="L125" s="92"/>
    </row>
    <row r="126" ht="15.75" customHeight="1" spans="1:12">
      <c r="A126" s="134" t="s">
        <v>189</v>
      </c>
      <c r="B126" s="135" t="s">
        <v>190</v>
      </c>
      <c r="C126" s="135"/>
      <c r="D126" s="135"/>
      <c r="E126" s="135"/>
      <c r="F126" s="135"/>
      <c r="G126" s="135"/>
      <c r="H126" s="136"/>
      <c r="I126" s="149">
        <f>I112+I115+I116</f>
        <v>3934.07</v>
      </c>
      <c r="J126" s="86"/>
      <c r="K126" s="56"/>
      <c r="L126" s="56"/>
    </row>
    <row r="127" ht="15.75" customHeight="1" spans="1:12">
      <c r="A127" s="139"/>
      <c r="B127" s="140"/>
      <c r="C127" s="140"/>
      <c r="D127" s="140"/>
      <c r="E127" s="140"/>
      <c r="F127" s="140"/>
      <c r="G127" s="140"/>
      <c r="H127" s="140"/>
      <c r="I127" s="151"/>
      <c r="J127" s="86"/>
      <c r="K127" s="56"/>
      <c r="L127" s="56"/>
    </row>
    <row r="128" ht="15.75" customHeight="1" spans="1:12">
      <c r="A128" s="134" t="s">
        <v>191</v>
      </c>
      <c r="B128" s="135" t="s">
        <v>192</v>
      </c>
      <c r="C128" s="135"/>
      <c r="D128" s="135"/>
      <c r="E128" s="135"/>
      <c r="F128" s="135"/>
      <c r="G128" s="135"/>
      <c r="H128" s="136"/>
      <c r="I128" s="149">
        <f>ROUND(I126/(1-H123),2)</f>
        <v>4281.75</v>
      </c>
      <c r="J128" s="86"/>
      <c r="K128" s="56"/>
      <c r="L128" s="56"/>
    </row>
    <row r="129" ht="15.75" customHeight="1" spans="1:12">
      <c r="A129" s="134"/>
      <c r="B129" s="135"/>
      <c r="C129" s="135"/>
      <c r="D129" s="135"/>
      <c r="E129" s="135"/>
      <c r="F129" s="135"/>
      <c r="G129" s="135"/>
      <c r="H129" s="136"/>
      <c r="I129" s="149"/>
      <c r="J129" s="86"/>
      <c r="K129" s="56"/>
      <c r="L129" s="56"/>
    </row>
    <row r="130" ht="15.75" customHeight="1" spans="1:12">
      <c r="A130" s="134"/>
      <c r="B130" s="135" t="s">
        <v>193</v>
      </c>
      <c r="C130" s="135"/>
      <c r="D130" s="135"/>
      <c r="E130" s="135"/>
      <c r="F130" s="135"/>
      <c r="G130" s="135"/>
      <c r="H130" s="136"/>
      <c r="I130" s="149">
        <f>I128-I126</f>
        <v>347.679999999999</v>
      </c>
      <c r="J130" s="86"/>
      <c r="K130" s="56"/>
      <c r="L130" s="56"/>
    </row>
    <row r="131" ht="15.75" customHeight="1" spans="1:12">
      <c r="A131" s="134"/>
      <c r="B131" s="135"/>
      <c r="H131" s="136"/>
      <c r="I131" s="149"/>
      <c r="J131" s="86"/>
      <c r="K131" s="56"/>
      <c r="L131" s="56"/>
    </row>
    <row r="132" ht="15.75" customHeight="1" spans="1:12">
      <c r="A132" s="11" t="s">
        <v>194</v>
      </c>
      <c r="B132" s="6"/>
      <c r="C132" s="6"/>
      <c r="D132" s="6"/>
      <c r="E132" s="6"/>
      <c r="F132" s="6"/>
      <c r="G132" s="6"/>
      <c r="H132" s="6"/>
      <c r="I132" s="8"/>
      <c r="J132" s="86"/>
      <c r="K132" s="56"/>
      <c r="L132" s="56"/>
    </row>
    <row r="133" ht="15.75" customHeight="1" spans="1:12">
      <c r="A133" s="11" t="s">
        <v>195</v>
      </c>
      <c r="B133" s="6"/>
      <c r="C133" s="6"/>
      <c r="D133" s="6"/>
      <c r="E133" s="6"/>
      <c r="F133" s="6"/>
      <c r="G133" s="6"/>
      <c r="H133" s="8"/>
      <c r="I133" s="24" t="s">
        <v>65</v>
      </c>
      <c r="J133" s="86"/>
      <c r="K133" s="92"/>
      <c r="L133" s="92"/>
    </row>
    <row r="134" ht="15.75" customHeight="1" spans="1:12">
      <c r="A134" s="12" t="s">
        <v>23</v>
      </c>
      <c r="B134" s="13" t="str">
        <f>A23</f>
        <v>MÓDULO 1 - COMPOSIÇÃO DA REMUNERAÇÃO</v>
      </c>
      <c r="C134" s="6"/>
      <c r="D134" s="6"/>
      <c r="E134" s="6"/>
      <c r="F134" s="6"/>
      <c r="G134" s="6"/>
      <c r="H134" s="8"/>
      <c r="I134" s="164">
        <f>I31</f>
        <v>1749.15</v>
      </c>
      <c r="J134" s="86"/>
      <c r="K134" s="92"/>
      <c r="L134" s="92"/>
    </row>
    <row r="135" ht="15.75" customHeight="1" spans="1:12">
      <c r="A135" s="12" t="s">
        <v>26</v>
      </c>
      <c r="B135" s="13" t="str">
        <f>A33</f>
        <v>MÓDULO 2 – ENCARGOS E BENEFÍCIOS ANUAIS, MENSAIS E DIÁRIOS</v>
      </c>
      <c r="C135" s="6"/>
      <c r="D135" s="6"/>
      <c r="E135" s="6"/>
      <c r="F135" s="6"/>
      <c r="G135" s="6"/>
      <c r="H135" s="8"/>
      <c r="I135" s="164">
        <f>I64</f>
        <v>1726.13</v>
      </c>
      <c r="J135" s="86"/>
      <c r="K135" s="92"/>
      <c r="L135" s="92"/>
    </row>
    <row r="136" ht="15.75" customHeight="1" spans="1:12">
      <c r="A136" s="12" t="s">
        <v>30</v>
      </c>
      <c r="B136" s="13" t="str">
        <f>A68</f>
        <v>MÓDULO 3 – PROVISÃO PARA RESCISÃO</v>
      </c>
      <c r="C136" s="6"/>
      <c r="D136" s="6"/>
      <c r="E136" s="6"/>
      <c r="F136" s="6"/>
      <c r="G136" s="6"/>
      <c r="H136" s="8"/>
      <c r="I136" s="164">
        <f>I75</f>
        <v>241.88</v>
      </c>
      <c r="J136" s="86"/>
      <c r="K136" s="43"/>
      <c r="L136" s="43"/>
    </row>
    <row r="137" ht="15.75" customHeight="1" spans="1:12">
      <c r="A137" s="12" t="s">
        <v>34</v>
      </c>
      <c r="B137" s="13" t="str">
        <f>A80</f>
        <v>MÓDULO 4 – CUSTO DE REPOSIÇÃO DO PROFISSIONAL AUSENTE</v>
      </c>
      <c r="C137" s="6"/>
      <c r="D137" s="6"/>
      <c r="E137" s="6"/>
      <c r="F137" s="6"/>
      <c r="G137" s="6"/>
      <c r="H137" s="8"/>
      <c r="I137" s="164">
        <f>I98</f>
        <v>71.38</v>
      </c>
      <c r="J137" s="156"/>
      <c r="K137" s="43"/>
      <c r="L137" s="43"/>
    </row>
    <row r="138" ht="15.75" customHeight="1" spans="1:12">
      <c r="A138" s="12" t="s">
        <v>74</v>
      </c>
      <c r="B138" s="13" t="str">
        <f>A100</f>
        <v>MÓDULO 5 – INSUMOS DIVERSOS</v>
      </c>
      <c r="C138" s="6"/>
      <c r="D138" s="6"/>
      <c r="E138" s="6"/>
      <c r="F138" s="6"/>
      <c r="G138" s="6"/>
      <c r="H138" s="8"/>
      <c r="I138" s="164">
        <f>I106</f>
        <v>119.3</v>
      </c>
      <c r="J138" s="86"/>
      <c r="K138" s="43"/>
      <c r="L138" s="43"/>
    </row>
    <row r="139" ht="15.75" customHeight="1" spans="1:12">
      <c r="A139" s="11" t="s">
        <v>196</v>
      </c>
      <c r="B139" s="6"/>
      <c r="C139" s="6"/>
      <c r="D139" s="6"/>
      <c r="E139" s="6"/>
      <c r="F139" s="6"/>
      <c r="G139" s="6"/>
      <c r="H139" s="8"/>
      <c r="I139" s="81">
        <f>SUM(I134:I138)</f>
        <v>3907.84</v>
      </c>
      <c r="J139" s="86"/>
      <c r="K139" s="42"/>
      <c r="L139" s="42"/>
    </row>
    <row r="140" ht="15.75" customHeight="1" spans="1:12">
      <c r="A140" s="12" t="s">
        <v>76</v>
      </c>
      <c r="B140" s="13" t="str">
        <f>A113</f>
        <v>MÓDULO 6 – CUSTOS INDIRETOS, TRIBUTOS E LUCRO</v>
      </c>
      <c r="C140" s="6"/>
      <c r="D140" s="6"/>
      <c r="E140" s="6"/>
      <c r="F140" s="6"/>
      <c r="G140" s="6"/>
      <c r="H140" s="8"/>
      <c r="I140" s="164">
        <f>I121</f>
        <v>373.91</v>
      </c>
      <c r="J140" s="157">
        <f>SUM(J30:J139)</f>
        <v>3142.741</v>
      </c>
      <c r="K140" s="42"/>
      <c r="L140" s="42"/>
    </row>
    <row r="141" ht="15.75" customHeight="1" spans="1:12">
      <c r="A141" s="11" t="s">
        <v>197</v>
      </c>
      <c r="B141" s="6"/>
      <c r="C141" s="6"/>
      <c r="D141" s="6"/>
      <c r="E141" s="6"/>
      <c r="F141" s="6"/>
      <c r="G141" s="6"/>
      <c r="H141" s="8"/>
      <c r="I141" s="81">
        <f>SUM(I139:I140)</f>
        <v>4281.75</v>
      </c>
      <c r="J141" s="42"/>
      <c r="K141" s="42"/>
      <c r="L141" s="42"/>
    </row>
    <row r="142" ht="15.75" customHeight="1" spans="1:9">
      <c r="A142" s="163"/>
      <c r="B142" s="163"/>
      <c r="C142" s="163"/>
      <c r="D142" s="163"/>
      <c r="E142" s="163"/>
      <c r="F142" s="163"/>
      <c r="G142" s="163"/>
      <c r="H142" s="163"/>
      <c r="I142" s="165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50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74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tabSelected="1" zoomScale="90" zoomScaleNormal="90" zoomScaleSheetLayoutView="90" topLeftCell="A19" workbookViewId="0">
      <selection activeCell="L59" sqref="L59"/>
    </sheetView>
  </sheetViews>
  <sheetFormatPr defaultColWidth="14.4285714285714" defaultRowHeight="15" customHeight="1"/>
  <cols>
    <col min="1" max="1" width="7.42857142857143" style="1" customWidth="1"/>
    <col min="2" max="2" width="10.1428571428571" style="1" customWidth="1"/>
    <col min="3" max="3" width="14.2857142857143" style="1" customWidth="1"/>
    <col min="4" max="4" width="11.8571428571429" style="1" customWidth="1"/>
    <col min="5" max="5" width="12.4285714285714" style="1" customWidth="1"/>
    <col min="6" max="6" width="14.7142857142857" style="1" customWidth="1"/>
    <col min="7" max="7" width="14.4285714285714" style="1" customWidth="1"/>
    <col min="8" max="8" width="14.7142857142857" style="1" customWidth="1"/>
    <col min="9" max="9" width="30.8571428571429" style="1" customWidth="1"/>
    <col min="10" max="10" width="14.1142857142857" style="2" customWidth="1"/>
    <col min="11" max="11" width="53.5714285714286" style="2" customWidth="1"/>
    <col min="12" max="12" width="25.4285714285714" style="2" customWidth="1"/>
    <col min="13" max="16384" width="14.4285714285714" style="1"/>
  </cols>
  <sheetData>
    <row r="1" customHeight="1" spans="1:12">
      <c r="A1" s="3" t="s">
        <v>17</v>
      </c>
      <c r="B1" s="3"/>
      <c r="C1" s="3"/>
      <c r="D1" s="3"/>
      <c r="E1" s="3"/>
      <c r="F1" s="3"/>
      <c r="G1" s="3"/>
      <c r="H1" s="3"/>
      <c r="I1" s="3"/>
      <c r="J1" s="42"/>
      <c r="K1" s="43"/>
      <c r="L1" s="43"/>
    </row>
    <row r="2" customHeight="1" spans="1:12">
      <c r="A2" s="4"/>
      <c r="B2" s="4"/>
      <c r="C2" s="4"/>
      <c r="D2" s="4"/>
      <c r="E2" s="4"/>
      <c r="F2" s="4"/>
      <c r="G2" s="4"/>
      <c r="H2" s="4"/>
      <c r="I2" s="4"/>
      <c r="J2" s="42"/>
      <c r="K2" s="43"/>
      <c r="L2" s="43"/>
    </row>
    <row r="3" ht="15.75" spans="1:12">
      <c r="A3" s="5" t="s">
        <v>202</v>
      </c>
      <c r="B3" s="6"/>
      <c r="C3" s="6"/>
      <c r="D3" s="6"/>
      <c r="E3" s="6"/>
      <c r="F3" s="6"/>
      <c r="G3" s="6"/>
      <c r="H3" s="6"/>
      <c r="I3" s="8"/>
      <c r="J3" s="44" t="s">
        <v>19</v>
      </c>
      <c r="K3" s="43"/>
      <c r="L3" s="43"/>
    </row>
    <row r="4" ht="15.75" spans="1:12">
      <c r="A4" s="7"/>
      <c r="B4" s="7"/>
      <c r="C4" s="7"/>
      <c r="D4" s="7"/>
      <c r="E4" s="7"/>
      <c r="F4" s="7"/>
      <c r="G4" s="7"/>
      <c r="H4" s="7"/>
      <c r="I4" s="45"/>
      <c r="J4" s="44"/>
      <c r="K4" s="43"/>
      <c r="L4" s="43"/>
    </row>
    <row r="5" ht="15.75" spans="1:12">
      <c r="A5" s="5" t="s">
        <v>20</v>
      </c>
      <c r="B5" s="6"/>
      <c r="C5" s="6"/>
      <c r="D5" s="6"/>
      <c r="E5" s="6"/>
      <c r="F5" s="6"/>
      <c r="G5" s="8"/>
      <c r="H5" s="9" t="s">
        <v>21</v>
      </c>
      <c r="I5" s="8"/>
      <c r="J5" s="44"/>
      <c r="K5" s="43"/>
      <c r="L5" s="43"/>
    </row>
    <row r="6" ht="15.75" spans="1:12">
      <c r="A6" s="5"/>
      <c r="B6" s="10"/>
      <c r="C6" s="10"/>
      <c r="D6" s="10"/>
      <c r="E6" s="10"/>
      <c r="F6" s="10"/>
      <c r="G6" s="10"/>
      <c r="H6" s="10"/>
      <c r="I6" s="46"/>
      <c r="J6" s="44"/>
      <c r="K6" s="47"/>
      <c r="L6" s="47"/>
    </row>
    <row r="7" ht="16.5" spans="1:12">
      <c r="A7" s="11" t="s">
        <v>22</v>
      </c>
      <c r="B7" s="6"/>
      <c r="C7" s="6"/>
      <c r="D7" s="6"/>
      <c r="E7" s="6"/>
      <c r="F7" s="6"/>
      <c r="G7" s="6"/>
      <c r="H7" s="6"/>
      <c r="I7" s="8"/>
      <c r="J7" s="44"/>
      <c r="K7" s="43"/>
      <c r="L7" s="43"/>
    </row>
    <row r="8" ht="15.75" spans="1:12">
      <c r="A8" s="12" t="s">
        <v>23</v>
      </c>
      <c r="B8" s="13" t="s">
        <v>24</v>
      </c>
      <c r="C8" s="6"/>
      <c r="D8" s="6"/>
      <c r="E8" s="6"/>
      <c r="F8" s="6"/>
      <c r="G8" s="6"/>
      <c r="H8" s="8"/>
      <c r="I8" s="48"/>
      <c r="J8" s="44"/>
      <c r="K8" s="49" t="s">
        <v>25</v>
      </c>
      <c r="L8" s="50"/>
    </row>
    <row r="9" ht="16.5" spans="1:12">
      <c r="A9" s="12" t="s">
        <v>26</v>
      </c>
      <c r="B9" s="13" t="s">
        <v>27</v>
      </c>
      <c r="C9" s="6"/>
      <c r="D9" s="6"/>
      <c r="E9" s="6"/>
      <c r="F9" s="6"/>
      <c r="G9" s="6"/>
      <c r="H9" s="8"/>
      <c r="I9" s="51" t="s">
        <v>28</v>
      </c>
      <c r="J9" s="44"/>
      <c r="K9" s="52" t="s">
        <v>29</v>
      </c>
      <c r="L9" s="53"/>
    </row>
    <row r="10" ht="16.5" spans="1:12">
      <c r="A10" s="12" t="s">
        <v>30</v>
      </c>
      <c r="B10" s="13" t="s">
        <v>31</v>
      </c>
      <c r="C10" s="6"/>
      <c r="D10" s="6"/>
      <c r="E10" s="6"/>
      <c r="F10" s="6"/>
      <c r="G10" s="6"/>
      <c r="H10" s="8"/>
      <c r="I10" s="51" t="s">
        <v>32</v>
      </c>
      <c r="J10" s="44"/>
      <c r="K10" s="54" t="s">
        <v>33</v>
      </c>
      <c r="L10" s="55">
        <f>J140</f>
        <v>3120.71912</v>
      </c>
    </row>
    <row r="11" ht="16.5" spans="1:12">
      <c r="A11" s="12" t="s">
        <v>34</v>
      </c>
      <c r="B11" s="13" t="s">
        <v>35</v>
      </c>
      <c r="C11" s="6"/>
      <c r="D11" s="6"/>
      <c r="E11" s="6"/>
      <c r="F11" s="6"/>
      <c r="G11" s="6"/>
      <c r="H11" s="8"/>
      <c r="I11" s="12">
        <v>12</v>
      </c>
      <c r="J11" s="44"/>
      <c r="K11" s="56"/>
      <c r="L11" s="56"/>
    </row>
    <row r="12" ht="15.75" spans="1:12">
      <c r="A12" s="14"/>
      <c r="B12" s="14"/>
      <c r="C12" s="14"/>
      <c r="D12" s="14"/>
      <c r="E12" s="14"/>
      <c r="F12" s="14"/>
      <c r="G12" s="14"/>
      <c r="H12" s="14"/>
      <c r="I12" s="45"/>
      <c r="J12" s="44"/>
      <c r="K12" s="49" t="s">
        <v>36</v>
      </c>
      <c r="L12" s="50"/>
    </row>
    <row r="13" ht="12.75" customHeight="1" spans="1:12">
      <c r="A13" s="11" t="s">
        <v>37</v>
      </c>
      <c r="B13" s="6"/>
      <c r="C13" s="6"/>
      <c r="D13" s="6"/>
      <c r="E13" s="6"/>
      <c r="F13" s="6"/>
      <c r="G13" s="6"/>
      <c r="H13" s="6"/>
      <c r="I13" s="8"/>
      <c r="J13" s="44"/>
      <c r="K13" s="57" t="s">
        <v>38</v>
      </c>
      <c r="L13" s="58"/>
    </row>
    <row r="14" ht="15.75" spans="1:12">
      <c r="A14" s="15" t="s">
        <v>39</v>
      </c>
      <c r="B14" s="8"/>
      <c r="C14" s="15" t="s">
        <v>40</v>
      </c>
      <c r="D14" s="8"/>
      <c r="E14" s="15" t="s">
        <v>41</v>
      </c>
      <c r="F14" s="6"/>
      <c r="G14" s="6"/>
      <c r="H14" s="6"/>
      <c r="I14" s="8"/>
      <c r="J14" s="44"/>
      <c r="K14" s="59" t="s">
        <v>42</v>
      </c>
      <c r="L14" s="60">
        <v>0.11</v>
      </c>
    </row>
    <row r="15" ht="15.75" spans="1:12">
      <c r="A15" s="16" t="s">
        <v>203</v>
      </c>
      <c r="B15" s="17"/>
      <c r="C15" s="18" t="s">
        <v>11</v>
      </c>
      <c r="D15" s="19"/>
      <c r="E15" s="15">
        <v>2</v>
      </c>
      <c r="F15" s="6"/>
      <c r="G15" s="6"/>
      <c r="H15" s="6"/>
      <c r="I15" s="8"/>
      <c r="J15" s="44"/>
      <c r="K15" s="61" t="s">
        <v>44</v>
      </c>
      <c r="L15" s="62">
        <f>I54</f>
        <v>440.77</v>
      </c>
    </row>
    <row r="16" ht="15.75" spans="1:12">
      <c r="A16" s="11" t="s">
        <v>45</v>
      </c>
      <c r="B16" s="6"/>
      <c r="C16" s="6"/>
      <c r="D16" s="6"/>
      <c r="E16" s="6"/>
      <c r="F16" s="6"/>
      <c r="G16" s="6"/>
      <c r="H16" s="6"/>
      <c r="I16" s="8"/>
      <c r="J16" s="44"/>
      <c r="K16" s="61" t="s">
        <v>46</v>
      </c>
      <c r="L16" s="62">
        <f>I106</f>
        <v>65.14</v>
      </c>
    </row>
    <row r="17" ht="15.75" spans="1:12">
      <c r="A17" s="12">
        <v>1</v>
      </c>
      <c r="B17" s="13" t="s">
        <v>47</v>
      </c>
      <c r="C17" s="6"/>
      <c r="D17" s="6"/>
      <c r="E17" s="6"/>
      <c r="F17" s="6"/>
      <c r="G17" s="6"/>
      <c r="H17" s="8"/>
      <c r="I17" s="12" t="s">
        <v>204</v>
      </c>
      <c r="J17" s="44"/>
      <c r="K17" s="61" t="s">
        <v>48</v>
      </c>
      <c r="L17" s="62">
        <f>I53</f>
        <v>122.24</v>
      </c>
    </row>
    <row r="18" ht="15.75" spans="1:12">
      <c r="A18" s="12">
        <v>2</v>
      </c>
      <c r="B18" s="13" t="s">
        <v>49</v>
      </c>
      <c r="C18" s="6"/>
      <c r="D18" s="6"/>
      <c r="E18" s="6"/>
      <c r="F18" s="6"/>
      <c r="G18" s="6"/>
      <c r="H18" s="8"/>
      <c r="I18" s="12" t="s">
        <v>205</v>
      </c>
      <c r="J18" s="44"/>
      <c r="K18" s="63" t="s">
        <v>51</v>
      </c>
      <c r="L18" s="64">
        <f>SUM(L15:L17)</f>
        <v>628.15</v>
      </c>
    </row>
    <row r="19" ht="15.75" spans="1:12">
      <c r="A19" s="12">
        <v>3</v>
      </c>
      <c r="B19" s="13" t="s">
        <v>52</v>
      </c>
      <c r="C19" s="6"/>
      <c r="D19" s="6"/>
      <c r="E19" s="6"/>
      <c r="F19" s="6"/>
      <c r="G19" s="6"/>
      <c r="H19" s="8"/>
      <c r="I19" s="65">
        <v>1429.39</v>
      </c>
      <c r="J19" s="44"/>
      <c r="K19" s="61" t="s">
        <v>53</v>
      </c>
      <c r="L19" s="66">
        <f>I141</f>
        <v>4191.06</v>
      </c>
    </row>
    <row r="20" ht="38.25" spans="1:12">
      <c r="A20" s="20">
        <v>4</v>
      </c>
      <c r="B20" s="21" t="s">
        <v>54</v>
      </c>
      <c r="C20" s="6"/>
      <c r="D20" s="6"/>
      <c r="E20" s="6"/>
      <c r="F20" s="6"/>
      <c r="G20" s="6"/>
      <c r="H20" s="8"/>
      <c r="I20" s="67" t="s">
        <v>55</v>
      </c>
      <c r="J20" s="44"/>
      <c r="K20" s="68" t="s">
        <v>56</v>
      </c>
      <c r="L20" s="69">
        <f>L19-L18</f>
        <v>3562.91</v>
      </c>
    </row>
    <row r="21" ht="16.5" spans="1:12">
      <c r="A21" s="12">
        <v>5</v>
      </c>
      <c r="B21" s="13" t="s">
        <v>57</v>
      </c>
      <c r="C21" s="6"/>
      <c r="D21" s="6"/>
      <c r="E21" s="6"/>
      <c r="F21" s="6"/>
      <c r="G21" s="6"/>
      <c r="H21" s="8"/>
      <c r="I21" s="70" t="s">
        <v>58</v>
      </c>
      <c r="J21" s="44"/>
      <c r="K21" s="71" t="s">
        <v>59</v>
      </c>
      <c r="L21" s="72">
        <f>L20*11%</f>
        <v>391.9201</v>
      </c>
    </row>
    <row r="22" ht="16.5" spans="1:12">
      <c r="A22" s="22"/>
      <c r="B22" s="6"/>
      <c r="C22" s="6"/>
      <c r="D22" s="6"/>
      <c r="E22" s="6"/>
      <c r="F22" s="6"/>
      <c r="G22" s="6"/>
      <c r="H22" s="6"/>
      <c r="I22" s="8"/>
      <c r="J22" s="44"/>
      <c r="K22" s="59" t="s">
        <v>60</v>
      </c>
      <c r="L22" s="73"/>
    </row>
    <row r="23" ht="15.75" customHeight="1" spans="1:12">
      <c r="A23" s="11" t="s">
        <v>61</v>
      </c>
      <c r="B23" s="6"/>
      <c r="C23" s="6"/>
      <c r="D23" s="6"/>
      <c r="E23" s="6"/>
      <c r="F23" s="6"/>
      <c r="G23" s="6"/>
      <c r="H23" s="6"/>
      <c r="I23" s="8"/>
      <c r="J23" s="44"/>
      <c r="K23" s="74" t="s">
        <v>62</v>
      </c>
      <c r="L23" s="75">
        <v>0.012</v>
      </c>
    </row>
    <row r="24" ht="15.75" customHeight="1" spans="1:12">
      <c r="A24" s="23">
        <v>1</v>
      </c>
      <c r="B24" s="11" t="s">
        <v>63</v>
      </c>
      <c r="C24" s="6"/>
      <c r="D24" s="6"/>
      <c r="E24" s="6"/>
      <c r="F24" s="6"/>
      <c r="G24" s="8"/>
      <c r="H24" s="24" t="s">
        <v>64</v>
      </c>
      <c r="I24" s="24" t="s">
        <v>65</v>
      </c>
      <c r="J24" s="44"/>
      <c r="K24" s="76" t="s">
        <v>66</v>
      </c>
      <c r="L24" s="77">
        <v>0.048</v>
      </c>
    </row>
    <row r="25" ht="15.75" customHeight="1" spans="1:12">
      <c r="A25" s="25" t="s">
        <v>23</v>
      </c>
      <c r="B25" s="13" t="s">
        <v>67</v>
      </c>
      <c r="C25" s="6"/>
      <c r="D25" s="6"/>
      <c r="E25" s="6"/>
      <c r="F25" s="6"/>
      <c r="G25" s="8"/>
      <c r="H25" s="26"/>
      <c r="I25" s="78">
        <f>I19</f>
        <v>1429.39</v>
      </c>
      <c r="J25" s="44"/>
      <c r="K25" s="61" t="s">
        <v>68</v>
      </c>
      <c r="L25" s="66">
        <f>L19</f>
        <v>4191.06</v>
      </c>
    </row>
    <row r="26" ht="15.75" customHeight="1" spans="1:12">
      <c r="A26" s="25" t="s">
        <v>26</v>
      </c>
      <c r="B26" s="13" t="s">
        <v>69</v>
      </c>
      <c r="C26" s="6"/>
      <c r="D26" s="6"/>
      <c r="E26" s="6"/>
      <c r="F26" s="6"/>
      <c r="G26" s="8"/>
      <c r="H26" s="27"/>
      <c r="I26" s="79">
        <v>0</v>
      </c>
      <c r="J26" s="44"/>
      <c r="K26" s="71" t="s">
        <v>70</v>
      </c>
      <c r="L26" s="72">
        <f>L25*L23</f>
        <v>50.29272</v>
      </c>
    </row>
    <row r="27" ht="15.75" customHeight="1" spans="1:12">
      <c r="A27" s="25" t="s">
        <v>30</v>
      </c>
      <c r="B27" s="13" t="s">
        <v>71</v>
      </c>
      <c r="C27" s="6"/>
      <c r="D27" s="6"/>
      <c r="E27" s="6"/>
      <c r="F27" s="6"/>
      <c r="G27" s="8"/>
      <c r="H27" s="27">
        <v>0.2</v>
      </c>
      <c r="I27" s="80">
        <f>ROUND(1518*20%,2)</f>
        <v>303.6</v>
      </c>
      <c r="J27" s="44"/>
      <c r="K27" s="59" t="s">
        <v>72</v>
      </c>
      <c r="L27" s="60">
        <v>0.01</v>
      </c>
    </row>
    <row r="28" ht="15.75" customHeight="1" spans="1:12">
      <c r="A28" s="25" t="s">
        <v>34</v>
      </c>
      <c r="B28" s="13" t="s">
        <v>73</v>
      </c>
      <c r="C28" s="6"/>
      <c r="D28" s="6"/>
      <c r="E28" s="6"/>
      <c r="F28" s="6"/>
      <c r="G28" s="8"/>
      <c r="H28" s="27"/>
      <c r="I28" s="78">
        <v>0</v>
      </c>
      <c r="J28" s="44"/>
      <c r="K28" s="68" t="s">
        <v>53</v>
      </c>
      <c r="L28" s="69">
        <f>L19</f>
        <v>4191.06</v>
      </c>
    </row>
    <row r="29" ht="15.75" customHeight="1" spans="1:12">
      <c r="A29" s="25" t="s">
        <v>74</v>
      </c>
      <c r="B29" s="13" t="s">
        <v>75</v>
      </c>
      <c r="C29" s="6"/>
      <c r="D29" s="6"/>
      <c r="E29" s="6"/>
      <c r="F29" s="6"/>
      <c r="G29" s="8"/>
      <c r="H29" s="27"/>
      <c r="I29" s="78">
        <v>0</v>
      </c>
      <c r="J29" s="44"/>
      <c r="K29" s="71" t="s">
        <v>59</v>
      </c>
      <c r="L29" s="72">
        <f>L28*L27</f>
        <v>41.9106</v>
      </c>
    </row>
    <row r="30" ht="15.75" customHeight="1" spans="1:12">
      <c r="A30" s="25" t="s">
        <v>76</v>
      </c>
      <c r="B30" s="13" t="s">
        <v>77</v>
      </c>
      <c r="C30" s="6"/>
      <c r="D30" s="6"/>
      <c r="E30" s="6"/>
      <c r="F30" s="6"/>
      <c r="G30" s="8"/>
      <c r="H30" s="27"/>
      <c r="I30" s="78">
        <v>0</v>
      </c>
      <c r="J30" s="44"/>
      <c r="K30" s="59" t="s">
        <v>78</v>
      </c>
      <c r="L30" s="60">
        <f>H119</f>
        <v>0.0257</v>
      </c>
    </row>
    <row r="31" ht="15.75" customHeight="1" spans="1:12">
      <c r="A31" s="11" t="s">
        <v>79</v>
      </c>
      <c r="B31" s="6"/>
      <c r="C31" s="6"/>
      <c r="D31" s="6"/>
      <c r="E31" s="6"/>
      <c r="F31" s="6"/>
      <c r="G31" s="6"/>
      <c r="H31" s="8"/>
      <c r="I31" s="81">
        <f>SUM(I25:I30)</f>
        <v>1732.99</v>
      </c>
      <c r="J31" s="82">
        <f>SUM(I25:I30)-(I25*6%)</f>
        <v>1647.2266</v>
      </c>
      <c r="K31" s="68" t="s">
        <v>53</v>
      </c>
      <c r="L31" s="69">
        <f>L19</f>
        <v>4191.06</v>
      </c>
    </row>
    <row r="32" ht="15.75" customHeight="1" spans="1:12">
      <c r="A32" s="7"/>
      <c r="B32" s="7"/>
      <c r="C32" s="7"/>
      <c r="D32" s="7"/>
      <c r="E32" s="7"/>
      <c r="F32" s="7"/>
      <c r="G32" s="7"/>
      <c r="H32" s="7"/>
      <c r="I32" s="45"/>
      <c r="J32" s="83"/>
      <c r="K32" s="71" t="s">
        <v>59</v>
      </c>
      <c r="L32" s="72">
        <f>L31*L30</f>
        <v>107.710242</v>
      </c>
    </row>
    <row r="33" ht="15.75" customHeight="1" spans="1:12">
      <c r="A33" s="11" t="s">
        <v>80</v>
      </c>
      <c r="B33" s="6"/>
      <c r="C33" s="6"/>
      <c r="D33" s="6"/>
      <c r="E33" s="6"/>
      <c r="F33" s="6"/>
      <c r="G33" s="6"/>
      <c r="H33" s="6"/>
      <c r="I33" s="8"/>
      <c r="J33" s="83"/>
      <c r="K33" s="59" t="s">
        <v>81</v>
      </c>
      <c r="L33" s="60">
        <f>H118</f>
        <v>0.0055</v>
      </c>
    </row>
    <row r="34" ht="15.75" customHeight="1" spans="1:12">
      <c r="A34" s="11" t="s">
        <v>82</v>
      </c>
      <c r="B34" s="6"/>
      <c r="C34" s="6"/>
      <c r="D34" s="6"/>
      <c r="E34" s="6"/>
      <c r="F34" s="6"/>
      <c r="G34" s="8"/>
      <c r="H34" s="24" t="s">
        <v>64</v>
      </c>
      <c r="I34" s="24" t="s">
        <v>65</v>
      </c>
      <c r="J34" s="84"/>
      <c r="K34" s="68" t="s">
        <v>53</v>
      </c>
      <c r="L34" s="69">
        <f>L19</f>
        <v>4191.06</v>
      </c>
    </row>
    <row r="35" ht="15.75" customHeight="1" spans="1:12">
      <c r="A35" s="25" t="s">
        <v>23</v>
      </c>
      <c r="B35" s="13" t="s">
        <v>83</v>
      </c>
      <c r="C35" s="6"/>
      <c r="D35" s="6"/>
      <c r="E35" s="6"/>
      <c r="F35" s="6"/>
      <c r="G35" s="8"/>
      <c r="H35" s="27">
        <f>ROUND(1/12,4)</f>
        <v>0.0833</v>
      </c>
      <c r="I35" s="85">
        <f>ROUND(I31*H35,2)</f>
        <v>144.36</v>
      </c>
      <c r="J35" s="82">
        <f>I35+(I35*$H$50)</f>
        <v>196.04088</v>
      </c>
      <c r="K35" s="71" t="s">
        <v>59</v>
      </c>
      <c r="L35" s="72">
        <f>L34*L33</f>
        <v>23.05083</v>
      </c>
    </row>
    <row r="36" ht="15.75" customHeight="1" spans="1:12">
      <c r="A36" s="25" t="s">
        <v>26</v>
      </c>
      <c r="B36" s="13" t="s">
        <v>84</v>
      </c>
      <c r="C36" s="6"/>
      <c r="D36" s="6"/>
      <c r="E36" s="6"/>
      <c r="F36" s="6"/>
      <c r="G36" s="8"/>
      <c r="H36" s="27">
        <v>0.121</v>
      </c>
      <c r="I36" s="85">
        <f>ROUND(I31*H36,2)</f>
        <v>209.69</v>
      </c>
      <c r="J36" s="82">
        <f>I36+(I36*$H$50)</f>
        <v>284.75902</v>
      </c>
      <c r="K36" s="59" t="s">
        <v>85</v>
      </c>
      <c r="L36" s="60">
        <f>H120</f>
        <v>0.05</v>
      </c>
    </row>
    <row r="37" ht="15.75" customHeight="1" spans="1:12">
      <c r="A37" s="11" t="s">
        <v>86</v>
      </c>
      <c r="B37" s="6"/>
      <c r="C37" s="6"/>
      <c r="D37" s="6"/>
      <c r="E37" s="6"/>
      <c r="F37" s="6"/>
      <c r="G37" s="8"/>
      <c r="H37" s="28">
        <f>SUM(H35:H36)</f>
        <v>0.2043</v>
      </c>
      <c r="I37" s="81">
        <f>SUM(I35:I36)</f>
        <v>354.05</v>
      </c>
      <c r="J37" s="86"/>
      <c r="K37" s="68" t="s">
        <v>53</v>
      </c>
      <c r="L37" s="69">
        <f>L19</f>
        <v>4191.06</v>
      </c>
    </row>
    <row r="38" ht="15.75" customHeight="1" spans="1:12">
      <c r="A38" s="29" t="s">
        <v>87</v>
      </c>
      <c r="B38" s="30"/>
      <c r="C38" s="30"/>
      <c r="D38" s="30"/>
      <c r="E38" s="30"/>
      <c r="F38" s="30"/>
      <c r="G38" s="31" t="s">
        <v>88</v>
      </c>
      <c r="H38" s="6"/>
      <c r="I38" s="87">
        <f>I31</f>
        <v>1732.99</v>
      </c>
      <c r="J38" s="88"/>
      <c r="K38" s="71" t="s">
        <v>59</v>
      </c>
      <c r="L38" s="72">
        <f>L37*L36</f>
        <v>209.553</v>
      </c>
    </row>
    <row r="39" ht="15.75" customHeight="1" spans="1:12">
      <c r="A39" s="32"/>
      <c r="B39" s="29"/>
      <c r="C39" s="29"/>
      <c r="D39" s="29"/>
      <c r="E39" s="29"/>
      <c r="F39" s="33"/>
      <c r="G39" s="31" t="s">
        <v>89</v>
      </c>
      <c r="H39" s="6"/>
      <c r="I39" s="87">
        <f>I37</f>
        <v>354.05</v>
      </c>
      <c r="J39" s="89"/>
      <c r="K39" s="90" t="s">
        <v>90</v>
      </c>
      <c r="L39" s="91">
        <f>L21+L26+L29+L32+L35+L38</f>
        <v>824.437492</v>
      </c>
    </row>
    <row r="40" ht="15.75" customHeight="1" spans="1:12">
      <c r="A40" s="34"/>
      <c r="B40" s="35"/>
      <c r="C40" s="35"/>
      <c r="D40" s="35"/>
      <c r="E40" s="35"/>
      <c r="F40" s="35"/>
      <c r="G40" s="31" t="s">
        <v>91</v>
      </c>
      <c r="H40" s="6"/>
      <c r="I40" s="87">
        <f>SUM(I38:I39)</f>
        <v>2087.04</v>
      </c>
      <c r="J40" s="88"/>
      <c r="K40" s="92"/>
      <c r="L40" s="92"/>
    </row>
    <row r="41" ht="15.75" customHeight="1" spans="1:12">
      <c r="A41" s="11" t="s">
        <v>92</v>
      </c>
      <c r="B41" s="6"/>
      <c r="C41" s="6"/>
      <c r="D41" s="6"/>
      <c r="E41" s="6"/>
      <c r="F41" s="6"/>
      <c r="G41" s="8"/>
      <c r="H41" s="24" t="s">
        <v>64</v>
      </c>
      <c r="I41" s="24" t="s">
        <v>65</v>
      </c>
      <c r="J41" s="88"/>
      <c r="K41" s="93" t="s">
        <v>93</v>
      </c>
      <c r="L41" s="94"/>
    </row>
    <row r="42" ht="15.75" customHeight="1" spans="1:12">
      <c r="A42" s="25" t="s">
        <v>23</v>
      </c>
      <c r="B42" s="13" t="s">
        <v>94</v>
      </c>
      <c r="C42" s="6"/>
      <c r="D42" s="6"/>
      <c r="E42" s="6"/>
      <c r="F42" s="6"/>
      <c r="G42" s="8"/>
      <c r="H42" s="27">
        <v>0.2</v>
      </c>
      <c r="I42" s="85">
        <f t="shared" ref="I42:I49" si="0">ROUND($I$40*H42,2)</f>
        <v>417.41</v>
      </c>
      <c r="J42" s="95" t="s">
        <v>95</v>
      </c>
      <c r="K42" s="96" t="s">
        <v>96</v>
      </c>
      <c r="L42" s="97"/>
    </row>
    <row r="43" ht="15.75" customHeight="1" spans="1:12">
      <c r="A43" s="25" t="s">
        <v>26</v>
      </c>
      <c r="B43" s="13" t="s">
        <v>97</v>
      </c>
      <c r="C43" s="6"/>
      <c r="D43" s="6"/>
      <c r="E43" s="6"/>
      <c r="F43" s="6"/>
      <c r="G43" s="8"/>
      <c r="H43" s="27">
        <v>0.025</v>
      </c>
      <c r="I43" s="85">
        <f t="shared" si="0"/>
        <v>52.18</v>
      </c>
      <c r="J43" s="82">
        <f t="shared" ref="J43:J49" si="1">$I$31*H43</f>
        <v>43.32475</v>
      </c>
      <c r="K43" s="98" t="s">
        <v>96</v>
      </c>
      <c r="L43" s="99">
        <f>L10+L39</f>
        <v>3945.156612</v>
      </c>
    </row>
    <row r="44" ht="15.75" customHeight="1" spans="1:12">
      <c r="A44" s="25" t="s">
        <v>30</v>
      </c>
      <c r="B44" s="13" t="s">
        <v>98</v>
      </c>
      <c r="C44" s="6"/>
      <c r="D44" s="6"/>
      <c r="E44" s="6"/>
      <c r="F44" s="6"/>
      <c r="G44" s="8"/>
      <c r="H44" s="36">
        <v>0.02</v>
      </c>
      <c r="I44" s="85">
        <f t="shared" si="0"/>
        <v>41.74</v>
      </c>
      <c r="J44" s="95" t="s">
        <v>95</v>
      </c>
      <c r="K44" s="56"/>
      <c r="L44" s="100"/>
    </row>
    <row r="45" ht="15.75" customHeight="1" spans="1:12">
      <c r="A45" s="25" t="s">
        <v>34</v>
      </c>
      <c r="B45" s="13" t="s">
        <v>99</v>
      </c>
      <c r="C45" s="6"/>
      <c r="D45" s="6"/>
      <c r="E45" s="6"/>
      <c r="F45" s="6"/>
      <c r="G45" s="8"/>
      <c r="H45" s="27">
        <v>0.015</v>
      </c>
      <c r="I45" s="85">
        <f t="shared" si="0"/>
        <v>31.31</v>
      </c>
      <c r="J45" s="82">
        <f t="shared" si="1"/>
        <v>25.99485</v>
      </c>
      <c r="K45" s="56"/>
      <c r="L45" s="100"/>
    </row>
    <row r="46" ht="15.75" customHeight="1" spans="1:12">
      <c r="A46" s="25" t="s">
        <v>74</v>
      </c>
      <c r="B46" s="13" t="s">
        <v>100</v>
      </c>
      <c r="C46" s="6"/>
      <c r="D46" s="6"/>
      <c r="E46" s="6"/>
      <c r="F46" s="6"/>
      <c r="G46" s="8"/>
      <c r="H46" s="27">
        <v>0.01</v>
      </c>
      <c r="I46" s="85">
        <f t="shared" si="0"/>
        <v>20.87</v>
      </c>
      <c r="J46" s="82">
        <f t="shared" si="1"/>
        <v>17.3299</v>
      </c>
      <c r="K46" s="56"/>
      <c r="L46" s="100"/>
    </row>
    <row r="47" ht="15.75" customHeight="1" spans="1:12">
      <c r="A47" s="25" t="s">
        <v>76</v>
      </c>
      <c r="B47" s="13" t="s">
        <v>101</v>
      </c>
      <c r="C47" s="6"/>
      <c r="D47" s="6"/>
      <c r="E47" s="6"/>
      <c r="F47" s="6"/>
      <c r="G47" s="8"/>
      <c r="H47" s="27">
        <v>0.006</v>
      </c>
      <c r="I47" s="85">
        <f t="shared" si="0"/>
        <v>12.52</v>
      </c>
      <c r="J47" s="82">
        <f t="shared" si="1"/>
        <v>10.39794</v>
      </c>
      <c r="K47" s="56"/>
      <c r="L47" s="100"/>
    </row>
    <row r="48" ht="15.75" customHeight="1" spans="1:12">
      <c r="A48" s="25" t="s">
        <v>102</v>
      </c>
      <c r="B48" s="13" t="s">
        <v>103</v>
      </c>
      <c r="C48" s="6"/>
      <c r="D48" s="6"/>
      <c r="E48" s="6"/>
      <c r="F48" s="6"/>
      <c r="G48" s="8"/>
      <c r="H48" s="27">
        <v>0.002</v>
      </c>
      <c r="I48" s="85">
        <f t="shared" si="0"/>
        <v>4.17</v>
      </c>
      <c r="J48" s="82">
        <f t="shared" si="1"/>
        <v>3.46598</v>
      </c>
      <c r="K48" s="56"/>
      <c r="L48" s="100"/>
    </row>
    <row r="49" ht="15.75" customHeight="1" spans="1:12">
      <c r="A49" s="25" t="s">
        <v>104</v>
      </c>
      <c r="B49" s="13" t="s">
        <v>105</v>
      </c>
      <c r="C49" s="6"/>
      <c r="D49" s="6"/>
      <c r="E49" s="6"/>
      <c r="F49" s="6"/>
      <c r="G49" s="8"/>
      <c r="H49" s="27">
        <v>0.08</v>
      </c>
      <c r="I49" s="85">
        <f t="shared" si="0"/>
        <v>166.96</v>
      </c>
      <c r="J49" s="82">
        <f t="shared" si="1"/>
        <v>138.6392</v>
      </c>
      <c r="K49" s="101" t="s">
        <v>106</v>
      </c>
      <c r="L49" s="101"/>
    </row>
    <row r="50" ht="15.75" customHeight="1" spans="1:12">
      <c r="A50" s="11" t="s">
        <v>107</v>
      </c>
      <c r="B50" s="6"/>
      <c r="C50" s="6"/>
      <c r="D50" s="6"/>
      <c r="E50" s="6"/>
      <c r="F50" s="6"/>
      <c r="G50" s="8"/>
      <c r="H50" s="28">
        <f>SUM(H42:H49)</f>
        <v>0.358</v>
      </c>
      <c r="I50" s="81">
        <f>SUM(I42:I49)</f>
        <v>747.16</v>
      </c>
      <c r="J50" s="89"/>
      <c r="K50" s="102" t="s">
        <v>108</v>
      </c>
      <c r="L50" s="102"/>
    </row>
    <row r="51" ht="15.75" customHeight="1" spans="1:12">
      <c r="A51" s="37"/>
      <c r="B51" s="6"/>
      <c r="C51" s="6"/>
      <c r="D51" s="6"/>
      <c r="E51" s="6"/>
      <c r="F51" s="6"/>
      <c r="G51" s="6"/>
      <c r="H51" s="6"/>
      <c r="I51" s="8"/>
      <c r="J51" s="89"/>
      <c r="K51" s="103" t="s">
        <v>109</v>
      </c>
      <c r="L51" s="104">
        <v>1</v>
      </c>
    </row>
    <row r="52" ht="15.75" customHeight="1" spans="1:12">
      <c r="A52" s="11" t="s">
        <v>110</v>
      </c>
      <c r="B52" s="6"/>
      <c r="C52" s="6"/>
      <c r="D52" s="6"/>
      <c r="E52" s="6"/>
      <c r="F52" s="6"/>
      <c r="G52" s="8"/>
      <c r="H52" s="28"/>
      <c r="I52" s="24" t="s">
        <v>65</v>
      </c>
      <c r="J52" s="89"/>
      <c r="K52" s="105" t="s">
        <v>111</v>
      </c>
      <c r="L52" s="106">
        <f>L43</f>
        <v>3945.156612</v>
      </c>
    </row>
    <row r="53" ht="15.75" customHeight="1" spans="1:12">
      <c r="A53" s="25" t="s">
        <v>23</v>
      </c>
      <c r="B53" s="22" t="s">
        <v>112</v>
      </c>
      <c r="C53" s="6"/>
      <c r="D53" s="6"/>
      <c r="E53" s="6"/>
      <c r="F53" s="6"/>
      <c r="G53" s="8"/>
      <c r="H53" s="38">
        <v>4</v>
      </c>
      <c r="I53" s="80">
        <f>ROUND((H53*2*26)-0.06*I25,2)</f>
        <v>122.24</v>
      </c>
      <c r="J53" s="82">
        <f>I53</f>
        <v>122.24</v>
      </c>
      <c r="K53" s="105"/>
      <c r="L53" s="106"/>
    </row>
    <row r="54" ht="15.75" customHeight="1" spans="1:12">
      <c r="A54" s="25" t="s">
        <v>26</v>
      </c>
      <c r="B54" s="22" t="s">
        <v>113</v>
      </c>
      <c r="C54" s="6"/>
      <c r="D54" s="6"/>
      <c r="E54" s="6"/>
      <c r="F54" s="6"/>
      <c r="G54" s="8"/>
      <c r="H54" s="12" t="s">
        <v>114</v>
      </c>
      <c r="I54" s="80">
        <v>440.77</v>
      </c>
      <c r="J54" s="82">
        <f>I54</f>
        <v>440.77</v>
      </c>
      <c r="K54" s="105"/>
      <c r="L54" s="106"/>
    </row>
    <row r="55" ht="15.75" customHeight="1" spans="1:12">
      <c r="A55" s="39" t="s">
        <v>30</v>
      </c>
      <c r="B55" s="40" t="s">
        <v>115</v>
      </c>
      <c r="C55" s="6"/>
      <c r="D55" s="6"/>
      <c r="E55" s="6"/>
      <c r="F55" s="6"/>
      <c r="G55" s="8"/>
      <c r="H55" s="41" t="s">
        <v>114</v>
      </c>
      <c r="I55" s="80">
        <v>46.35</v>
      </c>
      <c r="J55" s="82">
        <f>I55</f>
        <v>46.35</v>
      </c>
      <c r="K55" s="107" t="s">
        <v>116</v>
      </c>
      <c r="L55" s="106">
        <f>I141</f>
        <v>4191.06</v>
      </c>
    </row>
    <row r="56" ht="15.75" customHeight="1" spans="1:12">
      <c r="A56" s="25" t="s">
        <v>34</v>
      </c>
      <c r="B56" s="22" t="s">
        <v>117</v>
      </c>
      <c r="C56" s="6"/>
      <c r="D56" s="6"/>
      <c r="E56" s="6"/>
      <c r="F56" s="6"/>
      <c r="G56" s="8"/>
      <c r="H56" s="12" t="s">
        <v>114</v>
      </c>
      <c r="I56" s="78">
        <f>ROUND((I25*26)*0.002/12,2)</f>
        <v>6.19</v>
      </c>
      <c r="J56" s="82">
        <f>I56</f>
        <v>6.19</v>
      </c>
      <c r="K56" s="108" t="s">
        <v>118</v>
      </c>
      <c r="L56" s="109">
        <f>L43</f>
        <v>3945.156612</v>
      </c>
    </row>
    <row r="57" ht="15.75" customHeight="1" spans="1:12">
      <c r="A57" s="11" t="s">
        <v>119</v>
      </c>
      <c r="B57" s="6"/>
      <c r="C57" s="6"/>
      <c r="D57" s="6"/>
      <c r="E57" s="6"/>
      <c r="F57" s="6"/>
      <c r="G57" s="6"/>
      <c r="H57" s="8"/>
      <c r="I57" s="81">
        <f>SUM(I53:I56)</f>
        <v>615.55</v>
      </c>
      <c r="J57" s="86"/>
      <c r="K57" s="110" t="s">
        <v>120</v>
      </c>
      <c r="L57" s="111">
        <f>L55-L56</f>
        <v>245.903388</v>
      </c>
    </row>
    <row r="58" ht="15.75" customHeight="1" spans="1:12">
      <c r="A58" s="37"/>
      <c r="B58" s="6"/>
      <c r="C58" s="6"/>
      <c r="D58" s="6"/>
      <c r="E58" s="6"/>
      <c r="F58" s="6"/>
      <c r="G58" s="6"/>
      <c r="H58" s="6"/>
      <c r="I58" s="8"/>
      <c r="J58" s="86"/>
      <c r="K58" s="112" t="s">
        <v>121</v>
      </c>
      <c r="L58" s="113">
        <f>SUM(I70:I73,I98,I106,I115)</f>
        <v>255.32</v>
      </c>
    </row>
    <row r="59" ht="15.75" customHeight="1" spans="1:12">
      <c r="A59" s="11" t="s">
        <v>122</v>
      </c>
      <c r="B59" s="6"/>
      <c r="C59" s="6"/>
      <c r="D59" s="6"/>
      <c r="E59" s="6"/>
      <c r="F59" s="6"/>
      <c r="G59" s="6"/>
      <c r="H59" s="6"/>
      <c r="I59" s="8"/>
      <c r="J59" s="86"/>
      <c r="K59" s="112" t="s">
        <v>123</v>
      </c>
      <c r="L59" s="114">
        <f>L57-L58</f>
        <v>-9.41661200000027</v>
      </c>
    </row>
    <row r="60" ht="15.75" customHeight="1" spans="1:12">
      <c r="A60" s="11" t="s">
        <v>124</v>
      </c>
      <c r="B60" s="6"/>
      <c r="C60" s="6"/>
      <c r="D60" s="6"/>
      <c r="E60" s="6"/>
      <c r="F60" s="6"/>
      <c r="G60" s="6"/>
      <c r="H60" s="8"/>
      <c r="I60" s="24" t="s">
        <v>65</v>
      </c>
      <c r="J60" s="86"/>
      <c r="K60" s="115" t="s">
        <v>125</v>
      </c>
      <c r="L60" s="116">
        <f>ROUND(L59*L51,2)</f>
        <v>-9.42</v>
      </c>
    </row>
    <row r="61" ht="15.75" customHeight="1" spans="1:12">
      <c r="A61" s="25" t="s">
        <v>126</v>
      </c>
      <c r="B61" s="15" t="s">
        <v>127</v>
      </c>
      <c r="C61" s="6"/>
      <c r="D61" s="6"/>
      <c r="E61" s="6"/>
      <c r="F61" s="6"/>
      <c r="G61" s="6"/>
      <c r="H61" s="8"/>
      <c r="I61" s="85">
        <f>I37</f>
        <v>354.05</v>
      </c>
      <c r="J61" s="86"/>
      <c r="K61" s="115" t="s">
        <v>128</v>
      </c>
      <c r="L61" s="116">
        <f>ROUND((L59*12)*L51,2)</f>
        <v>-113</v>
      </c>
    </row>
    <row r="62" ht="15.75" customHeight="1" spans="1:12">
      <c r="A62" s="25" t="s">
        <v>129</v>
      </c>
      <c r="B62" s="15" t="s">
        <v>130</v>
      </c>
      <c r="C62" s="6"/>
      <c r="D62" s="6"/>
      <c r="E62" s="6"/>
      <c r="F62" s="6"/>
      <c r="G62" s="6"/>
      <c r="H62" s="8"/>
      <c r="I62" s="85">
        <f>I50</f>
        <v>747.16</v>
      </c>
      <c r="J62" s="86"/>
      <c r="K62" s="117" t="s">
        <v>131</v>
      </c>
      <c r="L62" s="117"/>
    </row>
    <row r="63" ht="15.75" customHeight="1" spans="1:12">
      <c r="A63" s="25" t="s">
        <v>132</v>
      </c>
      <c r="B63" s="15" t="s">
        <v>133</v>
      </c>
      <c r="C63" s="6"/>
      <c r="D63" s="6"/>
      <c r="E63" s="6"/>
      <c r="F63" s="6"/>
      <c r="G63" s="6"/>
      <c r="H63" s="8"/>
      <c r="I63" s="85">
        <f>I57</f>
        <v>615.55</v>
      </c>
      <c r="J63" s="86"/>
      <c r="K63" s="117"/>
      <c r="L63" s="117"/>
    </row>
    <row r="64" ht="15.75" customHeight="1" spans="1:12">
      <c r="A64" s="11" t="s">
        <v>134</v>
      </c>
      <c r="B64" s="6"/>
      <c r="C64" s="6"/>
      <c r="D64" s="6"/>
      <c r="E64" s="6"/>
      <c r="F64" s="6"/>
      <c r="G64" s="6"/>
      <c r="H64" s="8"/>
      <c r="I64" s="81">
        <f>SUM(I61:I63)</f>
        <v>1716.76</v>
      </c>
      <c r="J64" s="86"/>
      <c r="K64" s="117"/>
      <c r="L64" s="117"/>
    </row>
    <row r="65" ht="15.75" customHeight="1" spans="1:12">
      <c r="A65" s="118" t="s">
        <v>135</v>
      </c>
      <c r="B65" s="30"/>
      <c r="C65" s="30"/>
      <c r="D65" s="30"/>
      <c r="E65" s="30"/>
      <c r="F65" s="30"/>
      <c r="G65" s="31" t="s">
        <v>88</v>
      </c>
      <c r="H65" s="6"/>
      <c r="I65" s="87">
        <f>I31</f>
        <v>1732.99</v>
      </c>
      <c r="J65" s="86"/>
      <c r="K65" s="117"/>
      <c r="L65" s="117"/>
    </row>
    <row r="66" ht="15.75" customHeight="1" spans="1:12">
      <c r="A66" s="32"/>
      <c r="B66" s="118"/>
      <c r="C66" s="118"/>
      <c r="D66" s="118"/>
      <c r="E66" s="118"/>
      <c r="F66" s="33"/>
      <c r="G66" s="31" t="s">
        <v>136</v>
      </c>
      <c r="H66" s="6"/>
      <c r="I66" s="87">
        <f>I64</f>
        <v>1716.76</v>
      </c>
      <c r="J66" s="86"/>
      <c r="K66" s="117"/>
      <c r="L66" s="117"/>
    </row>
    <row r="67" ht="15.75" customHeight="1" spans="1:12">
      <c r="A67" s="34"/>
      <c r="B67" s="35"/>
      <c r="C67" s="35"/>
      <c r="D67" s="35"/>
      <c r="E67" s="35"/>
      <c r="F67" s="35"/>
      <c r="G67" s="31" t="s">
        <v>91</v>
      </c>
      <c r="H67" s="6"/>
      <c r="I67" s="87">
        <f>SUM(I65:I66)</f>
        <v>3449.75</v>
      </c>
      <c r="J67" s="86"/>
      <c r="K67" s="117"/>
      <c r="L67" s="117"/>
    </row>
    <row r="68" ht="15.75" customHeight="1" spans="1:12">
      <c r="A68" s="11" t="s">
        <v>137</v>
      </c>
      <c r="B68" s="6"/>
      <c r="C68" s="6"/>
      <c r="D68" s="6"/>
      <c r="E68" s="6"/>
      <c r="F68" s="6"/>
      <c r="G68" s="6"/>
      <c r="H68" s="6"/>
      <c r="I68" s="8"/>
      <c r="J68" s="86"/>
      <c r="K68" s="117"/>
      <c r="L68" s="117"/>
    </row>
    <row r="69" ht="27.75" customHeight="1" spans="1:12">
      <c r="A69" s="23">
        <v>3</v>
      </c>
      <c r="B69" s="11" t="s">
        <v>138</v>
      </c>
      <c r="C69" s="6"/>
      <c r="D69" s="6"/>
      <c r="E69" s="6"/>
      <c r="F69" s="6"/>
      <c r="G69" s="8"/>
      <c r="H69" s="24" t="s">
        <v>64</v>
      </c>
      <c r="I69" s="24" t="s">
        <v>65</v>
      </c>
      <c r="J69" s="86"/>
      <c r="K69" s="117"/>
      <c r="L69" s="117"/>
    </row>
    <row r="70" ht="15.75" customHeight="1" spans="1:12">
      <c r="A70" s="25" t="s">
        <v>23</v>
      </c>
      <c r="B70" s="13" t="s">
        <v>139</v>
      </c>
      <c r="C70" s="6"/>
      <c r="D70" s="6"/>
      <c r="E70" s="6"/>
      <c r="F70" s="6"/>
      <c r="G70" s="8"/>
      <c r="H70" s="27">
        <f>ROUND(((1/12)*5%),4)</f>
        <v>0.0042</v>
      </c>
      <c r="I70" s="85">
        <f t="shared" ref="I70:I74" si="2">ROUND(H70*$I$67,2)</f>
        <v>14.49</v>
      </c>
      <c r="J70" s="86"/>
      <c r="K70" s="117"/>
      <c r="L70" s="117"/>
    </row>
    <row r="71" ht="15.75" customHeight="1" spans="1:12">
      <c r="A71" s="25" t="s">
        <v>26</v>
      </c>
      <c r="B71" s="13" t="s">
        <v>140</v>
      </c>
      <c r="C71" s="6"/>
      <c r="D71" s="6"/>
      <c r="E71" s="6"/>
      <c r="F71" s="6"/>
      <c r="G71" s="8"/>
      <c r="H71" s="27">
        <f>TRUNC(H70*H49,4)</f>
        <v>0.0003</v>
      </c>
      <c r="I71" s="85">
        <f t="shared" si="2"/>
        <v>1.03</v>
      </c>
      <c r="J71" s="86"/>
      <c r="K71" s="117"/>
      <c r="L71" s="117"/>
    </row>
    <row r="72" ht="15.75" customHeight="1" spans="1:12">
      <c r="A72" s="25" t="s">
        <v>30</v>
      </c>
      <c r="B72" s="13" t="s">
        <v>141</v>
      </c>
      <c r="C72" s="6"/>
      <c r="D72" s="6"/>
      <c r="E72" s="6"/>
      <c r="F72" s="6"/>
      <c r="G72" s="8"/>
      <c r="H72" s="27">
        <f>ROUND(((7/30)/12)*95%,4)</f>
        <v>0.0185</v>
      </c>
      <c r="I72" s="85">
        <f t="shared" si="2"/>
        <v>63.82</v>
      </c>
      <c r="J72" s="86"/>
      <c r="K72" s="56"/>
      <c r="L72" s="56"/>
    </row>
    <row r="73" ht="15.75" customHeight="1" spans="1:12">
      <c r="A73" s="25" t="s">
        <v>34</v>
      </c>
      <c r="B73" s="119" t="s">
        <v>142</v>
      </c>
      <c r="C73" s="6"/>
      <c r="D73" s="6"/>
      <c r="E73" s="6"/>
      <c r="F73" s="6"/>
      <c r="G73" s="8"/>
      <c r="H73" s="27">
        <f>ROUND(H72*H50,4)</f>
        <v>0.0066</v>
      </c>
      <c r="I73" s="85">
        <f t="shared" si="2"/>
        <v>22.77</v>
      </c>
      <c r="J73" s="86"/>
      <c r="K73" s="56"/>
      <c r="L73" s="56"/>
    </row>
    <row r="74" ht="15.75" customHeight="1" spans="1:12">
      <c r="A74" s="25" t="s">
        <v>74</v>
      </c>
      <c r="B74" s="13" t="s">
        <v>143</v>
      </c>
      <c r="C74" s="6"/>
      <c r="D74" s="6"/>
      <c r="E74" s="6"/>
      <c r="F74" s="6"/>
      <c r="G74" s="8"/>
      <c r="H74" s="27">
        <v>0.04</v>
      </c>
      <c r="I74" s="85">
        <f t="shared" si="2"/>
        <v>137.99</v>
      </c>
      <c r="J74" s="82">
        <f>I74</f>
        <v>137.99</v>
      </c>
      <c r="K74" s="56"/>
      <c r="L74" s="56"/>
    </row>
    <row r="75" ht="15.75" customHeight="1" spans="1:12">
      <c r="A75" s="11" t="s">
        <v>144</v>
      </c>
      <c r="B75" s="6"/>
      <c r="C75" s="6"/>
      <c r="D75" s="6"/>
      <c r="E75" s="6"/>
      <c r="F75" s="6"/>
      <c r="G75" s="8"/>
      <c r="H75" s="28">
        <f>SUM(H70:H74)</f>
        <v>0.0696</v>
      </c>
      <c r="I75" s="81">
        <f>SUM(I70:I74)</f>
        <v>240.1</v>
      </c>
      <c r="J75" s="86"/>
      <c r="K75" s="141"/>
      <c r="L75" s="56"/>
    </row>
    <row r="76" ht="15.75" customHeight="1" spans="1:12">
      <c r="A76" s="29" t="s">
        <v>145</v>
      </c>
      <c r="B76" s="30"/>
      <c r="C76" s="30"/>
      <c r="D76" s="30"/>
      <c r="E76" s="30"/>
      <c r="F76" s="30"/>
      <c r="G76" s="31" t="s">
        <v>88</v>
      </c>
      <c r="H76" s="6"/>
      <c r="I76" s="87">
        <f>I31</f>
        <v>1732.99</v>
      </c>
      <c r="J76" s="86"/>
      <c r="K76" s="141"/>
      <c r="L76" s="56"/>
    </row>
    <row r="77" ht="15.75" customHeight="1" spans="1:12">
      <c r="A77" s="32"/>
      <c r="B77" s="29"/>
      <c r="C77" s="29"/>
      <c r="D77" s="29"/>
      <c r="E77" s="29"/>
      <c r="F77" s="33"/>
      <c r="G77" s="31" t="s">
        <v>136</v>
      </c>
      <c r="H77" s="6"/>
      <c r="I77" s="87">
        <f>I64</f>
        <v>1716.76</v>
      </c>
      <c r="J77" s="86"/>
      <c r="K77" s="141"/>
      <c r="L77" s="56"/>
    </row>
    <row r="78" ht="15.75" customHeight="1" spans="1:12">
      <c r="A78" s="32"/>
      <c r="B78" s="29"/>
      <c r="C78" s="29"/>
      <c r="D78" s="29"/>
      <c r="E78" s="29"/>
      <c r="F78" s="33"/>
      <c r="G78" s="31" t="s">
        <v>146</v>
      </c>
      <c r="H78" s="6"/>
      <c r="I78" s="87">
        <f>I75</f>
        <v>240.1</v>
      </c>
      <c r="J78" s="86"/>
      <c r="K78" s="141"/>
      <c r="L78" s="56"/>
    </row>
    <row r="79" ht="15.75" customHeight="1" spans="1:12">
      <c r="A79" s="32"/>
      <c r="B79" s="33"/>
      <c r="C79" s="33"/>
      <c r="D79" s="33"/>
      <c r="E79" s="33"/>
      <c r="F79" s="33"/>
      <c r="G79" s="31" t="s">
        <v>91</v>
      </c>
      <c r="H79" s="6"/>
      <c r="I79" s="87">
        <f>SUM(I76:I78)</f>
        <v>3689.85</v>
      </c>
      <c r="J79" s="86"/>
      <c r="K79" s="141"/>
      <c r="L79" s="56"/>
    </row>
    <row r="80" ht="15.75" customHeight="1" spans="1:12">
      <c r="A80" s="11" t="s">
        <v>147</v>
      </c>
      <c r="B80" s="6"/>
      <c r="C80" s="6"/>
      <c r="D80" s="6"/>
      <c r="E80" s="6"/>
      <c r="F80" s="6"/>
      <c r="G80" s="6"/>
      <c r="H80" s="6"/>
      <c r="I80" s="8"/>
      <c r="J80" s="83"/>
      <c r="K80" s="141"/>
      <c r="L80" s="56"/>
    </row>
    <row r="81" ht="15.75" customHeight="1" spans="1:12">
      <c r="A81" s="11" t="s">
        <v>148</v>
      </c>
      <c r="B81" s="6"/>
      <c r="C81" s="6"/>
      <c r="D81" s="6"/>
      <c r="E81" s="6"/>
      <c r="F81" s="6"/>
      <c r="G81" s="8"/>
      <c r="H81" s="24" t="s">
        <v>64</v>
      </c>
      <c r="I81" s="24" t="s">
        <v>65</v>
      </c>
      <c r="J81" s="86"/>
      <c r="K81" s="141"/>
      <c r="L81" s="142"/>
    </row>
    <row r="82" ht="15.75" customHeight="1" spans="1:12">
      <c r="A82" s="25" t="s">
        <v>23</v>
      </c>
      <c r="B82" s="13" t="s">
        <v>149</v>
      </c>
      <c r="C82" s="6"/>
      <c r="D82" s="6"/>
      <c r="E82" s="6"/>
      <c r="F82" s="6"/>
      <c r="G82" s="8"/>
      <c r="H82" s="27">
        <f>ROUND(((1+1/3)/12)/12,4)</f>
        <v>0.0093</v>
      </c>
      <c r="I82" s="85">
        <f t="shared" ref="I82:I87" si="3">ROUND(H82*$I$79,2)</f>
        <v>34.32</v>
      </c>
      <c r="J82" s="86"/>
      <c r="K82" s="141"/>
      <c r="L82" s="56"/>
    </row>
    <row r="83" ht="15.75" customHeight="1" spans="1:12">
      <c r="A83" s="25" t="s">
        <v>26</v>
      </c>
      <c r="B83" s="13" t="s">
        <v>150</v>
      </c>
      <c r="C83" s="6"/>
      <c r="D83" s="6"/>
      <c r="E83" s="6"/>
      <c r="F83" s="6"/>
      <c r="G83" s="8"/>
      <c r="H83" s="27">
        <f>ROUND(2/30/12,4)</f>
        <v>0.0056</v>
      </c>
      <c r="I83" s="85">
        <f t="shared" si="3"/>
        <v>20.66</v>
      </c>
      <c r="J83" s="86"/>
      <c r="K83" s="56"/>
      <c r="L83" s="56"/>
    </row>
    <row r="84" ht="15.75" customHeight="1" spans="1:12">
      <c r="A84" s="25" t="s">
        <v>30</v>
      </c>
      <c r="B84" s="13" t="s">
        <v>151</v>
      </c>
      <c r="C84" s="6"/>
      <c r="D84" s="6"/>
      <c r="E84" s="6"/>
      <c r="F84" s="6"/>
      <c r="G84" s="8"/>
      <c r="H84" s="27">
        <f>ROUND(((5/30)/12)*2%,4)</f>
        <v>0.0003</v>
      </c>
      <c r="I84" s="85">
        <f t="shared" si="3"/>
        <v>1.11</v>
      </c>
      <c r="J84" s="86"/>
      <c r="K84" s="56"/>
      <c r="L84" s="56"/>
    </row>
    <row r="85" ht="15.75" customHeight="1" spans="1:12">
      <c r="A85" s="25" t="s">
        <v>34</v>
      </c>
      <c r="B85" s="13" t="s">
        <v>152</v>
      </c>
      <c r="C85" s="6"/>
      <c r="D85" s="6"/>
      <c r="E85" s="6"/>
      <c r="F85" s="6"/>
      <c r="G85" s="8"/>
      <c r="H85" s="27">
        <f>ROUND(((15/30)/12)*8%,4)</f>
        <v>0.0033</v>
      </c>
      <c r="I85" s="85">
        <f t="shared" si="3"/>
        <v>12.18</v>
      </c>
      <c r="J85" s="86"/>
      <c r="K85" s="56"/>
      <c r="L85" s="56"/>
    </row>
    <row r="86" ht="15.75" customHeight="1" spans="1:12">
      <c r="A86" s="25" t="s">
        <v>74</v>
      </c>
      <c r="B86" s="13" t="s">
        <v>153</v>
      </c>
      <c r="C86" s="6"/>
      <c r="D86" s="6"/>
      <c r="E86" s="6"/>
      <c r="F86" s="6"/>
      <c r="G86" s="8"/>
      <c r="H86" s="27">
        <f>ROUND(((1+1/3)/12*4/12)*2%,4)</f>
        <v>0.0007</v>
      </c>
      <c r="I86" s="85">
        <f t="shared" si="3"/>
        <v>2.58</v>
      </c>
      <c r="J86" s="86"/>
      <c r="K86" s="56"/>
      <c r="L86" s="56"/>
    </row>
    <row r="87" ht="15.75" customHeight="1" spans="1:12">
      <c r="A87" s="39" t="s">
        <v>76</v>
      </c>
      <c r="B87" s="120" t="s">
        <v>154</v>
      </c>
      <c r="C87" s="6"/>
      <c r="D87" s="6"/>
      <c r="E87" s="6"/>
      <c r="F87" s="6"/>
      <c r="G87" s="8"/>
      <c r="H87" s="121">
        <v>0</v>
      </c>
      <c r="I87" s="85">
        <f t="shared" si="3"/>
        <v>0</v>
      </c>
      <c r="J87" s="86"/>
      <c r="K87" s="56"/>
      <c r="L87" s="56"/>
    </row>
    <row r="88" ht="15.75" customHeight="1" spans="1:12">
      <c r="A88" s="11" t="s">
        <v>155</v>
      </c>
      <c r="B88" s="6"/>
      <c r="C88" s="6"/>
      <c r="D88" s="6"/>
      <c r="E88" s="6"/>
      <c r="F88" s="6"/>
      <c r="G88" s="8"/>
      <c r="H88" s="28">
        <f>SUM(H82:H87)</f>
        <v>0.0192</v>
      </c>
      <c r="I88" s="81">
        <f>SUM(I82:I87)</f>
        <v>70.85</v>
      </c>
      <c r="J88" s="86"/>
      <c r="K88" s="56"/>
      <c r="L88" s="143"/>
    </row>
    <row r="89" ht="15.75" customHeight="1" spans="1:12">
      <c r="A89" s="37"/>
      <c r="B89" s="6"/>
      <c r="C89" s="6"/>
      <c r="D89" s="6"/>
      <c r="E89" s="6"/>
      <c r="F89" s="6"/>
      <c r="G89" s="6"/>
      <c r="H89" s="6"/>
      <c r="I89" s="8"/>
      <c r="J89" s="86"/>
      <c r="K89" s="144"/>
      <c r="L89" s="56"/>
    </row>
    <row r="90" ht="15.75" customHeight="1" spans="1:12">
      <c r="A90" s="122" t="s">
        <v>156</v>
      </c>
      <c r="B90" s="6"/>
      <c r="C90" s="6"/>
      <c r="D90" s="6"/>
      <c r="E90" s="6"/>
      <c r="F90" s="6"/>
      <c r="G90" s="8"/>
      <c r="H90" s="123" t="s">
        <v>64</v>
      </c>
      <c r="I90" s="123" t="s">
        <v>65</v>
      </c>
      <c r="J90" s="86"/>
      <c r="K90" s="56"/>
      <c r="L90" s="56"/>
    </row>
    <row r="91" ht="15.75" customHeight="1" spans="1:12">
      <c r="A91" s="39" t="s">
        <v>23</v>
      </c>
      <c r="B91" s="120" t="s">
        <v>157</v>
      </c>
      <c r="C91" s="6"/>
      <c r="D91" s="6"/>
      <c r="E91" s="6"/>
      <c r="F91" s="6"/>
      <c r="G91" s="8"/>
      <c r="H91" s="121">
        <v>0</v>
      </c>
      <c r="I91" s="145">
        <f>I31*H91</f>
        <v>0</v>
      </c>
      <c r="J91" s="86"/>
      <c r="K91" s="56"/>
      <c r="L91" s="56"/>
    </row>
    <row r="92" ht="15.75" customHeight="1" spans="1:12">
      <c r="A92" s="122" t="s">
        <v>158</v>
      </c>
      <c r="B92" s="6"/>
      <c r="C92" s="6"/>
      <c r="D92" s="6"/>
      <c r="E92" s="6"/>
      <c r="F92" s="6"/>
      <c r="G92" s="8"/>
      <c r="H92" s="124">
        <f>H91</f>
        <v>0</v>
      </c>
      <c r="I92" s="146">
        <f>I91</f>
        <v>0</v>
      </c>
      <c r="J92" s="86"/>
      <c r="K92" s="147"/>
      <c r="L92" s="56"/>
    </row>
    <row r="93" ht="15.75" customHeight="1" spans="1:12">
      <c r="A93" s="37"/>
      <c r="B93" s="6"/>
      <c r="C93" s="6"/>
      <c r="D93" s="6"/>
      <c r="E93" s="6"/>
      <c r="F93" s="6"/>
      <c r="G93" s="6"/>
      <c r="H93" s="6"/>
      <c r="I93" s="8"/>
      <c r="J93" s="86"/>
      <c r="K93" s="56"/>
      <c r="L93" s="56"/>
    </row>
    <row r="94" ht="15.75" customHeight="1" spans="1:12">
      <c r="A94" s="11" t="s">
        <v>159</v>
      </c>
      <c r="B94" s="6"/>
      <c r="C94" s="6"/>
      <c r="D94" s="6"/>
      <c r="E94" s="6"/>
      <c r="F94" s="6"/>
      <c r="G94" s="6"/>
      <c r="H94" s="6"/>
      <c r="I94" s="8"/>
      <c r="J94" s="86"/>
      <c r="K94" s="56"/>
      <c r="L94" s="56"/>
    </row>
    <row r="95" ht="15.75" customHeight="1" spans="1:12">
      <c r="A95" s="11" t="s">
        <v>160</v>
      </c>
      <c r="B95" s="6"/>
      <c r="C95" s="6"/>
      <c r="D95" s="6"/>
      <c r="E95" s="6"/>
      <c r="F95" s="6"/>
      <c r="G95" s="6"/>
      <c r="H95" s="8"/>
      <c r="I95" s="24" t="s">
        <v>65</v>
      </c>
      <c r="J95" s="86"/>
      <c r="K95" s="56"/>
      <c r="L95" s="56"/>
    </row>
    <row r="96" ht="15.75" customHeight="1" spans="1:12">
      <c r="A96" s="25" t="s">
        <v>161</v>
      </c>
      <c r="B96" s="15" t="s">
        <v>162</v>
      </c>
      <c r="C96" s="6"/>
      <c r="D96" s="6"/>
      <c r="E96" s="6"/>
      <c r="F96" s="6"/>
      <c r="G96" s="6"/>
      <c r="H96" s="8"/>
      <c r="I96" s="85">
        <f>I88</f>
        <v>70.85</v>
      </c>
      <c r="J96" s="86"/>
      <c r="K96" s="56"/>
      <c r="L96" s="56"/>
    </row>
    <row r="97" ht="15.75" customHeight="1" spans="1:12">
      <c r="A97" s="39" t="s">
        <v>163</v>
      </c>
      <c r="B97" s="125" t="s">
        <v>164</v>
      </c>
      <c r="C97" s="6"/>
      <c r="D97" s="6"/>
      <c r="E97" s="6"/>
      <c r="F97" s="6"/>
      <c r="G97" s="6"/>
      <c r="H97" s="8"/>
      <c r="I97" s="145">
        <f>I92</f>
        <v>0</v>
      </c>
      <c r="J97" s="86"/>
      <c r="K97" s="56"/>
      <c r="L97" s="56"/>
    </row>
    <row r="98" ht="15.75" customHeight="1" spans="1:12">
      <c r="A98" s="11" t="s">
        <v>165</v>
      </c>
      <c r="B98" s="6"/>
      <c r="C98" s="6"/>
      <c r="D98" s="6"/>
      <c r="E98" s="6"/>
      <c r="F98" s="6"/>
      <c r="G98" s="6"/>
      <c r="H98" s="8"/>
      <c r="I98" s="81">
        <f>SUM(I96:I97)</f>
        <v>70.85</v>
      </c>
      <c r="J98" s="86"/>
      <c r="K98" s="56"/>
      <c r="L98" s="56"/>
    </row>
    <row r="99" ht="15.75" customHeight="1" spans="1:12">
      <c r="A99" s="37"/>
      <c r="B99" s="6"/>
      <c r="C99" s="6"/>
      <c r="D99" s="6"/>
      <c r="E99" s="6"/>
      <c r="F99" s="6"/>
      <c r="G99" s="6"/>
      <c r="H99" s="6"/>
      <c r="I99" s="8"/>
      <c r="J99" s="86"/>
      <c r="K99" s="56"/>
      <c r="L99" s="56"/>
    </row>
    <row r="100" ht="15.75" customHeight="1" spans="1:12">
      <c r="A100" s="11" t="s">
        <v>166</v>
      </c>
      <c r="B100" s="6"/>
      <c r="C100" s="6"/>
      <c r="D100" s="6"/>
      <c r="E100" s="6"/>
      <c r="F100" s="6"/>
      <c r="G100" s="6"/>
      <c r="H100" s="6"/>
      <c r="I100" s="8"/>
      <c r="J100" s="86"/>
      <c r="K100" s="56"/>
      <c r="L100" s="56"/>
    </row>
    <row r="101" ht="15.75" customHeight="1" spans="1:12">
      <c r="A101" s="24">
        <v>5</v>
      </c>
      <c r="B101" s="11" t="s">
        <v>167</v>
      </c>
      <c r="C101" s="6"/>
      <c r="D101" s="6"/>
      <c r="E101" s="6"/>
      <c r="F101" s="6"/>
      <c r="G101" s="8"/>
      <c r="H101" s="24"/>
      <c r="I101" s="24" t="s">
        <v>65</v>
      </c>
      <c r="J101" s="86"/>
      <c r="K101" s="56"/>
      <c r="L101" s="56"/>
    </row>
    <row r="102" ht="15.75" customHeight="1" spans="1:12">
      <c r="A102" s="126" t="s">
        <v>23</v>
      </c>
      <c r="B102" s="22" t="s">
        <v>168</v>
      </c>
      <c r="C102" s="6"/>
      <c r="D102" s="6"/>
      <c r="E102" s="6"/>
      <c r="F102" s="6"/>
      <c r="G102" s="8"/>
      <c r="H102" s="127" t="s">
        <v>114</v>
      </c>
      <c r="I102" s="85">
        <v>0</v>
      </c>
      <c r="J102" s="86"/>
      <c r="K102" s="56"/>
      <c r="L102" s="56"/>
    </row>
    <row r="103" ht="15.75" customHeight="1" spans="1:12">
      <c r="A103" s="126" t="s">
        <v>26</v>
      </c>
      <c r="B103" s="22" t="s">
        <v>169</v>
      </c>
      <c r="C103" s="6"/>
      <c r="D103" s="6"/>
      <c r="E103" s="6"/>
      <c r="F103" s="6"/>
      <c r="G103" s="8"/>
      <c r="H103" s="127" t="s">
        <v>114</v>
      </c>
      <c r="I103" s="85">
        <v>41.56</v>
      </c>
      <c r="J103" s="86"/>
      <c r="K103" s="56"/>
      <c r="L103" s="56"/>
    </row>
    <row r="104" ht="15.75" customHeight="1" spans="1:12">
      <c r="A104" s="126" t="s">
        <v>30</v>
      </c>
      <c r="B104" s="22" t="s">
        <v>170</v>
      </c>
      <c r="C104" s="6"/>
      <c r="D104" s="6"/>
      <c r="E104" s="6"/>
      <c r="F104" s="6"/>
      <c r="G104" s="8"/>
      <c r="H104" s="127" t="s">
        <v>114</v>
      </c>
      <c r="I104" s="85">
        <v>23.58</v>
      </c>
      <c r="J104" s="86"/>
      <c r="K104" s="56"/>
      <c r="L104" s="56"/>
    </row>
    <row r="105" ht="15.75" customHeight="1" spans="1:12">
      <c r="A105" s="126" t="s">
        <v>34</v>
      </c>
      <c r="B105" s="22" t="s">
        <v>171</v>
      </c>
      <c r="C105" s="6"/>
      <c r="D105" s="6"/>
      <c r="E105" s="6"/>
      <c r="F105" s="6"/>
      <c r="G105" s="8"/>
      <c r="H105" s="128" t="s">
        <v>114</v>
      </c>
      <c r="I105" s="85">
        <v>0</v>
      </c>
      <c r="J105" s="86"/>
      <c r="K105" s="56"/>
      <c r="L105" s="56"/>
    </row>
    <row r="106" ht="15.75" customHeight="1" spans="1:12">
      <c r="A106" s="11" t="s">
        <v>172</v>
      </c>
      <c r="B106" s="6"/>
      <c r="C106" s="6"/>
      <c r="D106" s="6"/>
      <c r="E106" s="6"/>
      <c r="F106" s="6"/>
      <c r="G106" s="8"/>
      <c r="H106" s="28" t="s">
        <v>114</v>
      </c>
      <c r="I106" s="81">
        <f>SUM(I102:I105)</f>
        <v>65.14</v>
      </c>
      <c r="J106" s="86"/>
      <c r="K106" s="56"/>
      <c r="L106" s="56"/>
    </row>
    <row r="107" ht="15.75" customHeight="1" spans="1:12">
      <c r="A107" s="29" t="s">
        <v>173</v>
      </c>
      <c r="B107" s="30"/>
      <c r="C107" s="30"/>
      <c r="D107" s="30"/>
      <c r="E107" s="30"/>
      <c r="F107" s="30"/>
      <c r="G107" s="31" t="s">
        <v>88</v>
      </c>
      <c r="H107" s="6"/>
      <c r="I107" s="87">
        <f>I31</f>
        <v>1732.99</v>
      </c>
      <c r="J107" s="86"/>
      <c r="K107" s="56"/>
      <c r="L107" s="56"/>
    </row>
    <row r="108" ht="15.75" customHeight="1" spans="1:12">
      <c r="A108" s="32"/>
      <c r="B108" s="29"/>
      <c r="C108" s="29"/>
      <c r="D108" s="29"/>
      <c r="E108" s="29"/>
      <c r="F108" s="33"/>
      <c r="G108" s="31" t="s">
        <v>136</v>
      </c>
      <c r="H108" s="6"/>
      <c r="I108" s="87">
        <f>I64</f>
        <v>1716.76</v>
      </c>
      <c r="J108" s="86"/>
      <c r="K108" s="56"/>
      <c r="L108" s="56"/>
    </row>
    <row r="109" ht="15.75" customHeight="1" spans="1:12">
      <c r="A109" s="32"/>
      <c r="B109" s="29"/>
      <c r="C109" s="29"/>
      <c r="D109" s="29"/>
      <c r="E109" s="29"/>
      <c r="F109" s="33"/>
      <c r="G109" s="31" t="s">
        <v>146</v>
      </c>
      <c r="H109" s="6"/>
      <c r="I109" s="87">
        <f>I75</f>
        <v>240.1</v>
      </c>
      <c r="J109" s="86"/>
      <c r="K109" s="56"/>
      <c r="L109" s="56"/>
    </row>
    <row r="110" ht="15.75" customHeight="1" spans="1:12">
      <c r="A110" s="32"/>
      <c r="B110" s="29"/>
      <c r="C110" s="29"/>
      <c r="D110" s="29"/>
      <c r="E110" s="29"/>
      <c r="F110" s="33"/>
      <c r="G110" s="31" t="s">
        <v>174</v>
      </c>
      <c r="H110" s="6"/>
      <c r="I110" s="87">
        <f>I98</f>
        <v>70.85</v>
      </c>
      <c r="J110" s="86"/>
      <c r="K110" s="92"/>
      <c r="L110" s="92"/>
    </row>
    <row r="111" ht="15.75" customHeight="1" spans="1:12">
      <c r="A111" s="32"/>
      <c r="B111" s="29"/>
      <c r="C111" s="29"/>
      <c r="D111" s="29"/>
      <c r="E111" s="29"/>
      <c r="F111" s="33"/>
      <c r="G111" s="31" t="s">
        <v>175</v>
      </c>
      <c r="H111" s="6"/>
      <c r="I111" s="87">
        <f>I106</f>
        <v>65.14</v>
      </c>
      <c r="J111" s="86"/>
      <c r="K111" s="92"/>
      <c r="L111" s="92"/>
    </row>
    <row r="112" ht="15.75" customHeight="1" spans="1:12">
      <c r="A112" s="32"/>
      <c r="B112" s="33"/>
      <c r="C112" s="33"/>
      <c r="D112" s="33"/>
      <c r="E112" s="33"/>
      <c r="F112" s="33"/>
      <c r="G112" s="31" t="s">
        <v>91</v>
      </c>
      <c r="H112" s="6"/>
      <c r="I112" s="87">
        <f>SUM(I107:I111)</f>
        <v>3825.84</v>
      </c>
      <c r="J112" s="86"/>
      <c r="K112" s="56"/>
      <c r="L112" s="56"/>
    </row>
    <row r="113" ht="15.75" customHeight="1" spans="1:12">
      <c r="A113" s="11" t="s">
        <v>176</v>
      </c>
      <c r="B113" s="6"/>
      <c r="C113" s="6"/>
      <c r="D113" s="6"/>
      <c r="E113" s="6"/>
      <c r="F113" s="6"/>
      <c r="G113" s="6"/>
      <c r="H113" s="6"/>
      <c r="I113" s="8"/>
      <c r="J113" s="86"/>
      <c r="K113" s="56"/>
      <c r="L113" s="56"/>
    </row>
    <row r="114" ht="15.75" customHeight="1" spans="1:12">
      <c r="A114" s="24">
        <v>6</v>
      </c>
      <c r="B114" s="11" t="s">
        <v>177</v>
      </c>
      <c r="C114" s="6"/>
      <c r="D114" s="6"/>
      <c r="E114" s="6"/>
      <c r="F114" s="6"/>
      <c r="G114" s="8"/>
      <c r="H114" s="24" t="s">
        <v>64</v>
      </c>
      <c r="I114" s="24" t="s">
        <v>65</v>
      </c>
      <c r="J114" s="86"/>
      <c r="K114" s="56"/>
      <c r="L114" s="56"/>
    </row>
    <row r="115" ht="15.75" customHeight="1" spans="1:12">
      <c r="A115" s="25" t="s">
        <v>23</v>
      </c>
      <c r="B115" s="13" t="s">
        <v>178</v>
      </c>
      <c r="C115" s="6"/>
      <c r="D115" s="6"/>
      <c r="E115" s="6"/>
      <c r="F115" s="6"/>
      <c r="G115" s="8"/>
      <c r="H115" s="129">
        <v>0.0045</v>
      </c>
      <c r="I115" s="85">
        <f>ROUND(H115*I112,2)</f>
        <v>17.22</v>
      </c>
      <c r="J115" s="86"/>
      <c r="K115" s="56"/>
      <c r="L115" s="56"/>
    </row>
    <row r="116" ht="15.75" customHeight="1" spans="1:12">
      <c r="A116" s="25" t="s">
        <v>26</v>
      </c>
      <c r="B116" s="13" t="s">
        <v>179</v>
      </c>
      <c r="C116" s="6"/>
      <c r="D116" s="6"/>
      <c r="E116" s="6"/>
      <c r="F116" s="6"/>
      <c r="G116" s="8"/>
      <c r="H116" s="129">
        <v>0.002</v>
      </c>
      <c r="I116" s="85">
        <f>ROUND(H116*(I112+I115),2)</f>
        <v>7.69</v>
      </c>
      <c r="J116" s="86"/>
      <c r="K116" s="56"/>
      <c r="L116" s="56"/>
    </row>
    <row r="117" ht="15.75" customHeight="1" spans="1:12">
      <c r="A117" s="25" t="s">
        <v>30</v>
      </c>
      <c r="B117" s="130" t="s">
        <v>180</v>
      </c>
      <c r="C117" s="6"/>
      <c r="D117" s="6"/>
      <c r="E117" s="6"/>
      <c r="F117" s="6"/>
      <c r="G117" s="8"/>
      <c r="H117" s="27"/>
      <c r="I117" s="148"/>
      <c r="J117" s="86"/>
      <c r="K117" s="56"/>
      <c r="L117" s="56"/>
    </row>
    <row r="118" ht="15.75" customHeight="1" spans="1:12">
      <c r="A118" s="25" t="s">
        <v>181</v>
      </c>
      <c r="B118" s="13" t="s">
        <v>182</v>
      </c>
      <c r="C118" s="6"/>
      <c r="D118" s="6"/>
      <c r="E118" s="6"/>
      <c r="F118" s="6"/>
      <c r="G118" s="8"/>
      <c r="H118" s="129">
        <v>0.0055</v>
      </c>
      <c r="I118" s="85">
        <f t="shared" ref="I118:I120" si="4">ROUND($I$128*H118,2)</f>
        <v>23.05</v>
      </c>
      <c r="J118" s="86"/>
      <c r="K118" s="56"/>
      <c r="L118" s="56"/>
    </row>
    <row r="119" ht="15.75" customHeight="1" spans="1:12">
      <c r="A119" s="25" t="s">
        <v>183</v>
      </c>
      <c r="B119" s="13" t="s">
        <v>78</v>
      </c>
      <c r="C119" s="6"/>
      <c r="D119" s="6"/>
      <c r="E119" s="6"/>
      <c r="F119" s="6"/>
      <c r="G119" s="8"/>
      <c r="H119" s="131">
        <v>0.0257</v>
      </c>
      <c r="I119" s="85">
        <f t="shared" si="4"/>
        <v>107.71</v>
      </c>
      <c r="J119" s="86"/>
      <c r="K119" s="56"/>
      <c r="L119" s="56"/>
    </row>
    <row r="120" ht="15.75" customHeight="1" spans="1:12">
      <c r="A120" s="25" t="s">
        <v>184</v>
      </c>
      <c r="B120" s="13" t="s">
        <v>185</v>
      </c>
      <c r="C120" s="6"/>
      <c r="D120" s="6"/>
      <c r="E120" s="6"/>
      <c r="F120" s="6"/>
      <c r="G120" s="8"/>
      <c r="H120" s="132">
        <v>0.05</v>
      </c>
      <c r="I120" s="85">
        <f t="shared" si="4"/>
        <v>209.55</v>
      </c>
      <c r="J120" s="86"/>
      <c r="K120" s="56"/>
      <c r="L120" s="56"/>
    </row>
    <row r="121" ht="15.75" customHeight="1" spans="1:12">
      <c r="A121" s="11" t="s">
        <v>186</v>
      </c>
      <c r="B121" s="6"/>
      <c r="C121" s="6"/>
      <c r="D121" s="6"/>
      <c r="E121" s="6"/>
      <c r="F121" s="6"/>
      <c r="G121" s="8"/>
      <c r="H121" s="133">
        <f>SUM(H115:H120)</f>
        <v>0.0877</v>
      </c>
      <c r="I121" s="81">
        <f>SUM(I115:I120)</f>
        <v>365.22</v>
      </c>
      <c r="J121" s="86"/>
      <c r="K121" s="56"/>
      <c r="L121" s="56"/>
    </row>
    <row r="122" ht="15.75" customHeight="1" spans="1:12">
      <c r="A122" s="14"/>
      <c r="B122" s="14"/>
      <c r="C122" s="14"/>
      <c r="D122" s="14"/>
      <c r="E122" s="14"/>
      <c r="F122" s="14"/>
      <c r="G122" s="14"/>
      <c r="H122" s="14"/>
      <c r="I122" s="45"/>
      <c r="J122" s="86"/>
      <c r="K122" s="56"/>
      <c r="L122" s="56"/>
    </row>
    <row r="123" ht="15.75" customHeight="1" spans="1:12">
      <c r="A123" s="134" t="s">
        <v>187</v>
      </c>
      <c r="B123" s="135" t="s">
        <v>188</v>
      </c>
      <c r="C123" s="135"/>
      <c r="D123" s="135"/>
      <c r="E123" s="135"/>
      <c r="F123" s="135"/>
      <c r="G123" s="135"/>
      <c r="H123" s="136">
        <f>SUM(H118+H119+H120)</f>
        <v>0.0812</v>
      </c>
      <c r="I123" s="149"/>
      <c r="J123" s="86"/>
      <c r="K123" s="56"/>
      <c r="L123" s="56"/>
    </row>
    <row r="124" ht="15.75" customHeight="1" spans="1:12">
      <c r="A124" s="134"/>
      <c r="B124" s="135">
        <v>100</v>
      </c>
      <c r="C124" s="135"/>
      <c r="D124" s="135"/>
      <c r="E124" s="135"/>
      <c r="F124" s="135"/>
      <c r="G124" s="135"/>
      <c r="H124" s="136"/>
      <c r="I124" s="149"/>
      <c r="J124" s="86"/>
      <c r="K124" s="56"/>
      <c r="L124" s="56"/>
    </row>
    <row r="125" ht="15.75" customHeight="1" spans="1:12">
      <c r="A125" s="137"/>
      <c r="B125" s="138"/>
      <c r="C125" s="138"/>
      <c r="D125" s="138"/>
      <c r="E125" s="138"/>
      <c r="F125" s="138"/>
      <c r="G125" s="138"/>
      <c r="H125" s="138"/>
      <c r="I125" s="150"/>
      <c r="J125" s="86"/>
      <c r="K125" s="92"/>
      <c r="L125" s="92"/>
    </row>
    <row r="126" ht="15.75" customHeight="1" spans="1:12">
      <c r="A126" s="134" t="s">
        <v>189</v>
      </c>
      <c r="B126" s="135" t="s">
        <v>190</v>
      </c>
      <c r="C126" s="135"/>
      <c r="D126" s="135"/>
      <c r="E126" s="135"/>
      <c r="F126" s="135"/>
      <c r="G126" s="135"/>
      <c r="H126" s="136"/>
      <c r="I126" s="149">
        <f>I112+I115+I116</f>
        <v>3850.75</v>
      </c>
      <c r="J126" s="86"/>
      <c r="K126" s="56"/>
      <c r="L126" s="56"/>
    </row>
    <row r="127" ht="15.75" customHeight="1" spans="1:12">
      <c r="A127" s="139"/>
      <c r="B127" s="140"/>
      <c r="C127" s="140"/>
      <c r="D127" s="140"/>
      <c r="E127" s="140"/>
      <c r="F127" s="140"/>
      <c r="G127" s="140"/>
      <c r="H127" s="140"/>
      <c r="I127" s="151"/>
      <c r="J127" s="86"/>
      <c r="K127" s="56"/>
      <c r="L127" s="56"/>
    </row>
    <row r="128" ht="15.75" customHeight="1" spans="1:12">
      <c r="A128" s="134" t="s">
        <v>191</v>
      </c>
      <c r="B128" s="135" t="s">
        <v>192</v>
      </c>
      <c r="C128" s="135"/>
      <c r="D128" s="135"/>
      <c r="E128" s="135"/>
      <c r="F128" s="135"/>
      <c r="G128" s="135"/>
      <c r="H128" s="136"/>
      <c r="I128" s="149">
        <f>ROUND(I126/(1-H123),2)</f>
        <v>4191.06</v>
      </c>
      <c r="J128" s="86"/>
      <c r="K128" s="56"/>
      <c r="L128" s="56"/>
    </row>
    <row r="129" ht="15.75" customHeight="1" spans="1:12">
      <c r="A129" s="134"/>
      <c r="B129" s="135"/>
      <c r="C129" s="135"/>
      <c r="D129" s="135"/>
      <c r="E129" s="135"/>
      <c r="F129" s="135"/>
      <c r="G129" s="135"/>
      <c r="H129" s="136"/>
      <c r="I129" s="149"/>
      <c r="J129" s="86"/>
      <c r="K129" s="56"/>
      <c r="L129" s="56"/>
    </row>
    <row r="130" ht="15.75" customHeight="1" spans="1:12">
      <c r="A130" s="134"/>
      <c r="B130" s="135" t="s">
        <v>193</v>
      </c>
      <c r="C130" s="135"/>
      <c r="D130" s="135"/>
      <c r="E130" s="135"/>
      <c r="F130" s="135"/>
      <c r="G130" s="135"/>
      <c r="H130" s="136"/>
      <c r="I130" s="149">
        <f>I128-I126</f>
        <v>340.310000000001</v>
      </c>
      <c r="J130" s="86"/>
      <c r="K130" s="56"/>
      <c r="L130" s="56"/>
    </row>
    <row r="131" ht="15.75" customHeight="1" spans="1:12">
      <c r="A131" s="14"/>
      <c r="B131" s="152"/>
      <c r="C131" s="152"/>
      <c r="D131" s="152"/>
      <c r="E131" s="152"/>
      <c r="F131" s="152"/>
      <c r="G131" s="152"/>
      <c r="H131" s="152"/>
      <c r="I131" s="155"/>
      <c r="J131" s="86"/>
      <c r="K131" s="56"/>
      <c r="L131" s="56"/>
    </row>
    <row r="132" ht="15.75" customHeight="1" spans="1:12">
      <c r="A132" s="11" t="s">
        <v>194</v>
      </c>
      <c r="B132" s="6"/>
      <c r="C132" s="6"/>
      <c r="D132" s="6"/>
      <c r="E132" s="6"/>
      <c r="F132" s="6"/>
      <c r="G132" s="6"/>
      <c r="H132" s="6"/>
      <c r="I132" s="8"/>
      <c r="J132" s="86"/>
      <c r="K132" s="56"/>
      <c r="L132" s="56"/>
    </row>
    <row r="133" ht="15.75" customHeight="1" spans="1:12">
      <c r="A133" s="11" t="s">
        <v>195</v>
      </c>
      <c r="B133" s="6"/>
      <c r="C133" s="6"/>
      <c r="D133" s="6"/>
      <c r="E133" s="6"/>
      <c r="F133" s="6"/>
      <c r="G133" s="6"/>
      <c r="H133" s="8"/>
      <c r="I133" s="24" t="s">
        <v>65</v>
      </c>
      <c r="J133" s="86"/>
      <c r="K133" s="92"/>
      <c r="L133" s="92"/>
    </row>
    <row r="134" ht="15.75" customHeight="1" spans="1:12">
      <c r="A134" s="12" t="s">
        <v>23</v>
      </c>
      <c r="B134" s="13" t="str">
        <f>A23</f>
        <v>MÓDULO 1 - COMPOSIÇÃO DA REMUNERAÇÃO</v>
      </c>
      <c r="C134" s="6"/>
      <c r="D134" s="6"/>
      <c r="E134" s="6"/>
      <c r="F134" s="6"/>
      <c r="G134" s="6"/>
      <c r="H134" s="8"/>
      <c r="I134" s="85">
        <f>I31</f>
        <v>1732.99</v>
      </c>
      <c r="J134" s="86"/>
      <c r="K134" s="92"/>
      <c r="L134" s="92"/>
    </row>
    <row r="135" ht="15.75" customHeight="1" spans="1:12">
      <c r="A135" s="12" t="s">
        <v>26</v>
      </c>
      <c r="B135" s="13" t="str">
        <f>A33</f>
        <v>MÓDULO 2 – ENCARGOS E BENEFÍCIOS ANUAIS, MENSAIS E DIÁRIOS</v>
      </c>
      <c r="C135" s="6"/>
      <c r="D135" s="6"/>
      <c r="E135" s="6"/>
      <c r="F135" s="6"/>
      <c r="G135" s="6"/>
      <c r="H135" s="8"/>
      <c r="I135" s="85">
        <f>I64</f>
        <v>1716.76</v>
      </c>
      <c r="J135" s="86"/>
      <c r="K135" s="92"/>
      <c r="L135" s="92"/>
    </row>
    <row r="136" ht="15.75" customHeight="1" spans="1:12">
      <c r="A136" s="12" t="s">
        <v>30</v>
      </c>
      <c r="B136" s="13" t="str">
        <f>A68</f>
        <v>MÓDULO 3 – PROVISÃO PARA RESCISÃO</v>
      </c>
      <c r="C136" s="6"/>
      <c r="D136" s="6"/>
      <c r="E136" s="6"/>
      <c r="F136" s="6"/>
      <c r="G136" s="6"/>
      <c r="H136" s="8"/>
      <c r="I136" s="85">
        <f>I75</f>
        <v>240.1</v>
      </c>
      <c r="J136" s="86"/>
      <c r="K136" s="43"/>
      <c r="L136" s="43"/>
    </row>
    <row r="137" ht="15.75" customHeight="1" spans="1:12">
      <c r="A137" s="12" t="s">
        <v>34</v>
      </c>
      <c r="B137" s="13" t="str">
        <f>A80</f>
        <v>MÓDULO 4 – CUSTO DE REPOSIÇÃO DO PROFISSIONAL AUSENTE</v>
      </c>
      <c r="C137" s="6"/>
      <c r="D137" s="6"/>
      <c r="E137" s="6"/>
      <c r="F137" s="6"/>
      <c r="G137" s="6"/>
      <c r="H137" s="8"/>
      <c r="I137" s="85">
        <f>I98</f>
        <v>70.85</v>
      </c>
      <c r="J137" s="156"/>
      <c r="K137" s="43"/>
      <c r="L137" s="43"/>
    </row>
    <row r="138" ht="15.75" customHeight="1" spans="1:12">
      <c r="A138" s="12" t="s">
        <v>74</v>
      </c>
      <c r="B138" s="13" t="str">
        <f>A100</f>
        <v>MÓDULO 5 – INSUMOS DIVERSOS</v>
      </c>
      <c r="C138" s="6"/>
      <c r="D138" s="6"/>
      <c r="E138" s="6"/>
      <c r="F138" s="6"/>
      <c r="G138" s="6"/>
      <c r="H138" s="8"/>
      <c r="I138" s="85">
        <f>I106</f>
        <v>65.14</v>
      </c>
      <c r="J138" s="86"/>
      <c r="K138" s="43"/>
      <c r="L138" s="43"/>
    </row>
    <row r="139" ht="15.75" customHeight="1" spans="1:12">
      <c r="A139" s="11" t="s">
        <v>196</v>
      </c>
      <c r="B139" s="6"/>
      <c r="C139" s="6"/>
      <c r="D139" s="6"/>
      <c r="E139" s="6"/>
      <c r="F139" s="6"/>
      <c r="G139" s="6"/>
      <c r="H139" s="8"/>
      <c r="I139" s="81">
        <f>SUM(I134:I138)</f>
        <v>3825.84</v>
      </c>
      <c r="J139" s="86"/>
      <c r="K139" s="42"/>
      <c r="L139" s="42"/>
    </row>
    <row r="140" ht="15.75" customHeight="1" spans="1:12">
      <c r="A140" s="12" t="s">
        <v>76</v>
      </c>
      <c r="B140" s="13" t="str">
        <f>A113</f>
        <v>MÓDULO 6 – CUSTOS INDIRETOS, TRIBUTOS E LUCRO</v>
      </c>
      <c r="C140" s="6"/>
      <c r="D140" s="6"/>
      <c r="E140" s="6"/>
      <c r="F140" s="6"/>
      <c r="G140" s="6"/>
      <c r="H140" s="8"/>
      <c r="I140" s="85">
        <f>I121</f>
        <v>365.22</v>
      </c>
      <c r="J140" s="157">
        <f>SUM(J30:J139)</f>
        <v>3120.71912</v>
      </c>
      <c r="K140" s="42"/>
      <c r="L140" s="42"/>
    </row>
    <row r="141" ht="15.75" customHeight="1" spans="1:12">
      <c r="A141" s="11" t="s">
        <v>197</v>
      </c>
      <c r="B141" s="6"/>
      <c r="C141" s="6"/>
      <c r="D141" s="6"/>
      <c r="E141" s="6"/>
      <c r="F141" s="6"/>
      <c r="G141" s="6"/>
      <c r="H141" s="8"/>
      <c r="I141" s="81">
        <f>SUM(I139:I140)</f>
        <v>4191.06</v>
      </c>
      <c r="J141" s="42"/>
      <c r="K141" s="42"/>
      <c r="L141" s="42"/>
    </row>
    <row r="142" ht="15.75" customHeight="1" spans="1:9">
      <c r="A142" s="153"/>
      <c r="B142" s="154"/>
      <c r="C142" s="154"/>
      <c r="D142" s="154"/>
      <c r="E142" s="154"/>
      <c r="F142" s="154"/>
      <c r="G142" s="154"/>
      <c r="H142" s="153"/>
      <c r="I142" s="158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A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74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QUADRO RESUMO</vt:lpstr>
      <vt:lpstr>COZINHEIRO 44H (TERESINA)</vt:lpstr>
      <vt:lpstr>AUX. DE COZINHA 44H (TERESINA)</vt:lpstr>
      <vt:lpstr>AUX. ALMOXARIFE 44H (TERESINA)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CPL</cp:lastModifiedBy>
  <dcterms:created xsi:type="dcterms:W3CDTF">2023-05-30T10:38:00Z</dcterms:created>
  <dcterms:modified xsi:type="dcterms:W3CDTF">2025-08-29T13:34:30Z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32486639DADD45DD9F33683C966C888E_13</vt:lpwstr>
  </property>
  <property fmtid="{D5CDD505-2E9C-101B-9397-08002B2CF9AE}" pid="3" name="KSOProductBuildVer">
    <vt:lpwstr>1046-12.2.0.21931</vt:lpwstr>
  </property>
</Properties>
</file>