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PE 90008-2025\EXEQUIBILIDADE PE 90008-2025\PONTUAL EXEQUIBILIDADE\"/>
    </mc:Choice>
  </mc:AlternateContent>
  <xr:revisionPtr revIDLastSave="0" documentId="13_ncr:1_{7FFBA777-DA98-4F91-932B-E39FC79327A4}" xr6:coauthVersionLast="47" xr6:coauthVersionMax="47" xr10:uidLastSave="{00000000-0000-0000-0000-000000000000}"/>
  <bookViews>
    <workbookView xWindow="0" yWindow="0" windowWidth="14325" windowHeight="15600" tabRatio="655" firstSheet="16" activeTab="17" xr2:uid="{00000000-000D-0000-FFFF-FFFF00000000}"/>
  </bookViews>
  <sheets>
    <sheet name="QUADRO RESUMO" sheetId="1" r:id="rId1"/>
    <sheet name="PRODUTIVIDADE" sheetId="2" r:id="rId2"/>
    <sheet name="ENCARREGADO" sheetId="3" r:id="rId3"/>
    <sheet name="OPERADOR DE ROÇADEIRA" sheetId="4" r:id="rId4"/>
    <sheet name="SERV. INTERNO - PISOS " sheetId="5" r:id="rId5"/>
    <sheet name="SERV. INTERNO LABORATORIOS 20%" sheetId="6" r:id="rId6"/>
    <sheet name="SERV. INTERNO - ALMOXARIFADO" sheetId="7" r:id="rId7"/>
    <sheet name="SERV. INTERNO ALMOXARIFADO 20%" sheetId="8" r:id="rId8"/>
    <sheet name="SERV. INTERNO - SAGUÃO, HALL" sheetId="9" r:id="rId9"/>
    <sheet name="SERV. INTERNO BANHEIROS 40%" sheetId="10" r:id="rId10"/>
    <sheet name="SERV. EXTERNO - PISOS" sheetId="11" r:id="rId11"/>
    <sheet name="SERV. EXTERNO - VARRIÇÃO" sheetId="12" r:id="rId12"/>
    <sheet name="SERV. EXTERNO PÁTIOS ALTA FREQ." sheetId="13" r:id="rId13"/>
    <sheet name="SERV. EXTERNO PÁTIOS BAIXA FREQ" sheetId="14" r:id="rId14"/>
    <sheet name="SERV. EXTERNO COLETA" sheetId="15" r:id="rId15"/>
    <sheet name="MATERIAIS" sheetId="16" r:id="rId16"/>
    <sheet name="FERRAMENTAS E EQUIPAMENTOS" sheetId="17" r:id="rId17"/>
    <sheet name="EPIS" sheetId="18" r:id="rId18"/>
    <sheet name="UNIFORMES" sheetId="19" r:id="rId19"/>
  </sheets>
  <definedNames>
    <definedName name="_1Excel_BuiltIn_Print_Area_5_1">"$#REF!.$B$1:$G$74"</definedName>
    <definedName name="_xlnm.Print_Area" localSheetId="0">'QUADRO RESUMO'!$A$1:$G$9</definedName>
    <definedName name="Excel_BuiltIn_Print_Area_1_1">"$#REF!.$A$1:$H$4"</definedName>
    <definedName name="Excel_BuiltIn_Print_Area_2_1" localSheetId="1">#REF!</definedName>
    <definedName name="Excel_BuiltIn_Print_Area_2_1">!#REF!</definedName>
    <definedName name="Excel_BuiltIn_Print_Area_3_1">"$#REF!.$B$1:$F$226"</definedName>
    <definedName name="Excel_BuiltIn_Print_Area_3_1_1">"$#REF!.$B$1:$F$226"</definedName>
    <definedName name="Excel_BuiltIn_Print_Area_5_1">"$#REF!.$B$1:$G$74"</definedName>
    <definedName name="Excel_BuiltIn_Print_Area_6" localSheetId="1">#REF!</definedName>
    <definedName name="Excel_BuiltIn_Print_Area_6">!#REF!</definedName>
    <definedName name="Excel_BuiltIn_Print_Area_6_1" localSheetId="1">#REF!</definedName>
    <definedName name="Excel_BuiltIn_Print_Area_6_1">!#REF!</definedName>
    <definedName name="Excel_BuiltIn_Print_Area_7">"$#REF!.$A$1:$H$150"</definedName>
    <definedName name="MOT">NA()</definedName>
  </definedNames>
  <calcPr calcId="191029"/>
</workbook>
</file>

<file path=xl/calcChain.xml><?xml version="1.0" encoding="utf-8"?>
<calcChain xmlns="http://schemas.openxmlformats.org/spreadsheetml/2006/main">
  <c r="I101" i="9" l="1"/>
  <c r="G23" i="19" l="1"/>
  <c r="G22" i="19"/>
  <c r="G21" i="19"/>
  <c r="G20" i="19"/>
  <c r="G19" i="19"/>
  <c r="G18" i="19"/>
  <c r="G17" i="19"/>
  <c r="G16" i="19"/>
  <c r="G15" i="19"/>
  <c r="G12" i="19"/>
  <c r="G11" i="19"/>
  <c r="G10" i="19"/>
  <c r="G9" i="19"/>
  <c r="G8" i="19"/>
  <c r="G7" i="19"/>
  <c r="G6" i="19"/>
  <c r="G5" i="19"/>
  <c r="G4" i="19"/>
  <c r="G37" i="18"/>
  <c r="F37" i="18"/>
  <c r="G36" i="18"/>
  <c r="F36" i="18"/>
  <c r="G35" i="18"/>
  <c r="F35" i="18"/>
  <c r="F34" i="18"/>
  <c r="F33" i="18"/>
  <c r="F32" i="18"/>
  <c r="F31" i="18"/>
  <c r="F30" i="18"/>
  <c r="F29" i="18"/>
  <c r="F28" i="18"/>
  <c r="F27" i="18"/>
  <c r="F24" i="18"/>
  <c r="F23" i="18"/>
  <c r="F22" i="18"/>
  <c r="F21" i="18"/>
  <c r="F20" i="18"/>
  <c r="F19" i="18"/>
  <c r="F18" i="18"/>
  <c r="F15" i="18"/>
  <c r="F14" i="18"/>
  <c r="F13" i="18"/>
  <c r="F10" i="18"/>
  <c r="F9" i="18"/>
  <c r="F8" i="18"/>
  <c r="F7" i="18"/>
  <c r="F6" i="18"/>
  <c r="F5" i="18"/>
  <c r="F4" i="18"/>
  <c r="J64" i="17"/>
  <c r="I64" i="17"/>
  <c r="J63" i="17"/>
  <c r="I63" i="17"/>
  <c r="J62" i="17"/>
  <c r="I62" i="17"/>
  <c r="J61" i="17"/>
  <c r="I61" i="17"/>
  <c r="I60" i="17"/>
  <c r="I58" i="17"/>
  <c r="F58" i="17"/>
  <c r="I57" i="17"/>
  <c r="H57" i="17"/>
  <c r="F57" i="17"/>
  <c r="I53" i="17"/>
  <c r="I51" i="17"/>
  <c r="F51" i="17"/>
  <c r="I50" i="17"/>
  <c r="H50" i="17"/>
  <c r="F50" i="17"/>
  <c r="I49" i="17"/>
  <c r="H49" i="17"/>
  <c r="F49" i="17"/>
  <c r="I48" i="17"/>
  <c r="H48" i="17"/>
  <c r="F48" i="17"/>
  <c r="I47" i="17"/>
  <c r="H47" i="17"/>
  <c r="F47" i="17"/>
  <c r="I43" i="17"/>
  <c r="I41" i="17"/>
  <c r="F41" i="17"/>
  <c r="I40" i="17"/>
  <c r="H40" i="17"/>
  <c r="F40" i="17"/>
  <c r="I35" i="17"/>
  <c r="I33" i="17"/>
  <c r="F33" i="17"/>
  <c r="I32" i="17"/>
  <c r="H32" i="17"/>
  <c r="F32" i="17"/>
  <c r="F27" i="17"/>
  <c r="F25" i="17"/>
  <c r="F24" i="17"/>
  <c r="F23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G74" i="16"/>
  <c r="F74" i="16"/>
  <c r="G73" i="16"/>
  <c r="F73" i="16"/>
  <c r="F72" i="16"/>
  <c r="F70" i="16"/>
  <c r="F69" i="16"/>
  <c r="F68" i="16"/>
  <c r="F67" i="16"/>
  <c r="F66" i="16"/>
  <c r="F65" i="16"/>
  <c r="F64" i="16"/>
  <c r="F63" i="16"/>
  <c r="F60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3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B138" i="15"/>
  <c r="B136" i="15"/>
  <c r="B135" i="15"/>
  <c r="B134" i="15"/>
  <c r="B133" i="15"/>
  <c r="I132" i="15"/>
  <c r="B132" i="15"/>
  <c r="H121" i="15"/>
  <c r="H119" i="15"/>
  <c r="I105" i="15"/>
  <c r="I104" i="15"/>
  <c r="I109" i="15" s="1"/>
  <c r="I95" i="15"/>
  <c r="I90" i="15"/>
  <c r="H90" i="15"/>
  <c r="I89" i="15"/>
  <c r="H86" i="15"/>
  <c r="H84" i="15"/>
  <c r="H83" i="15"/>
  <c r="H82" i="15"/>
  <c r="H81" i="15"/>
  <c r="H80" i="15"/>
  <c r="I74" i="15"/>
  <c r="H70" i="15"/>
  <c r="H69" i="15"/>
  <c r="H68" i="15"/>
  <c r="I63" i="15"/>
  <c r="I61" i="15"/>
  <c r="I59" i="15"/>
  <c r="I55" i="15"/>
  <c r="J54" i="15"/>
  <c r="I54" i="15"/>
  <c r="J53" i="15"/>
  <c r="I53" i="15"/>
  <c r="J52" i="15"/>
  <c r="J51" i="15"/>
  <c r="H48" i="15"/>
  <c r="J34" i="15" s="1"/>
  <c r="J47" i="15"/>
  <c r="I47" i="15"/>
  <c r="J46" i="15"/>
  <c r="I46" i="15"/>
  <c r="J45" i="15"/>
  <c r="I45" i="15"/>
  <c r="J44" i="15"/>
  <c r="I44" i="15"/>
  <c r="J43" i="15"/>
  <c r="I43" i="15"/>
  <c r="I42" i="15"/>
  <c r="I48" i="15" s="1"/>
  <c r="I60" i="15" s="1"/>
  <c r="I62" i="15" s="1"/>
  <c r="J41" i="15"/>
  <c r="I41" i="15"/>
  <c r="I40" i="15"/>
  <c r="I38" i="15"/>
  <c r="I37" i="15"/>
  <c r="I36" i="15"/>
  <c r="I35" i="15"/>
  <c r="H35" i="15"/>
  <c r="L34" i="15"/>
  <c r="I34" i="15"/>
  <c r="I33" i="15"/>
  <c r="H33" i="15"/>
  <c r="L31" i="15"/>
  <c r="J29" i="15"/>
  <c r="I29" i="15"/>
  <c r="L28" i="15"/>
  <c r="I23" i="15"/>
  <c r="L15" i="15"/>
  <c r="L13" i="15"/>
  <c r="B138" i="14"/>
  <c r="B136" i="14"/>
  <c r="B135" i="14"/>
  <c r="B134" i="14"/>
  <c r="B133" i="14"/>
  <c r="I132" i="14"/>
  <c r="B132" i="14"/>
  <c r="H121" i="14"/>
  <c r="H119" i="14"/>
  <c r="I105" i="14"/>
  <c r="I104" i="14"/>
  <c r="I109" i="14" s="1"/>
  <c r="I95" i="14"/>
  <c r="I90" i="14"/>
  <c r="H90" i="14"/>
  <c r="I89" i="14"/>
  <c r="H86" i="14"/>
  <c r="H84" i="14"/>
  <c r="H83" i="14"/>
  <c r="H82" i="14"/>
  <c r="H81" i="14"/>
  <c r="H80" i="14"/>
  <c r="I74" i="14"/>
  <c r="H70" i="14"/>
  <c r="H69" i="14"/>
  <c r="H68" i="14"/>
  <c r="I63" i="14"/>
  <c r="I61" i="14"/>
  <c r="I59" i="14"/>
  <c r="I55" i="14"/>
  <c r="J54" i="14"/>
  <c r="I54" i="14"/>
  <c r="J53" i="14"/>
  <c r="I53" i="14"/>
  <c r="J52" i="14"/>
  <c r="J51" i="14"/>
  <c r="H48" i="14"/>
  <c r="H71" i="14" s="1"/>
  <c r="J47" i="14"/>
  <c r="I47" i="14"/>
  <c r="J46" i="14"/>
  <c r="I46" i="14"/>
  <c r="J45" i="14"/>
  <c r="I45" i="14"/>
  <c r="J44" i="14"/>
  <c r="I44" i="14"/>
  <c r="J43" i="14"/>
  <c r="I43" i="14"/>
  <c r="I42" i="14"/>
  <c r="I48" i="14" s="1"/>
  <c r="I60" i="14" s="1"/>
  <c r="I62" i="14" s="1"/>
  <c r="J41" i="14"/>
  <c r="I41" i="14"/>
  <c r="I40" i="14"/>
  <c r="I38" i="14"/>
  <c r="I37" i="14"/>
  <c r="I36" i="14"/>
  <c r="I35" i="14"/>
  <c r="H35" i="14"/>
  <c r="L34" i="14"/>
  <c r="J34" i="14"/>
  <c r="I34" i="14"/>
  <c r="J33" i="14"/>
  <c r="I33" i="14"/>
  <c r="H33" i="14"/>
  <c r="L31" i="14"/>
  <c r="J29" i="14"/>
  <c r="I29" i="14"/>
  <c r="L28" i="14"/>
  <c r="I23" i="14"/>
  <c r="L15" i="14"/>
  <c r="L13" i="14"/>
  <c r="B138" i="13"/>
  <c r="B136" i="13"/>
  <c r="B135" i="13"/>
  <c r="B134" i="13"/>
  <c r="B133" i="13"/>
  <c r="I132" i="13"/>
  <c r="B132" i="13"/>
  <c r="H121" i="13"/>
  <c r="H119" i="13"/>
  <c r="I105" i="13"/>
  <c r="I104" i="13"/>
  <c r="I109" i="13" s="1"/>
  <c r="I95" i="13"/>
  <c r="I90" i="13"/>
  <c r="H90" i="13"/>
  <c r="I89" i="13"/>
  <c r="H86" i="13"/>
  <c r="H84" i="13"/>
  <c r="H83" i="13"/>
  <c r="H82" i="13"/>
  <c r="H81" i="13"/>
  <c r="H80" i="13"/>
  <c r="I74" i="13"/>
  <c r="H71" i="13"/>
  <c r="H73" i="13" s="1"/>
  <c r="H70" i="13"/>
  <c r="H69" i="13"/>
  <c r="H68" i="13"/>
  <c r="I63" i="13"/>
  <c r="I61" i="13"/>
  <c r="I59" i="13"/>
  <c r="I55" i="13"/>
  <c r="J54" i="13"/>
  <c r="I54" i="13"/>
  <c r="J53" i="13"/>
  <c r="I53" i="13"/>
  <c r="J52" i="13"/>
  <c r="J51" i="13"/>
  <c r="H48" i="13"/>
  <c r="J47" i="13"/>
  <c r="I47" i="13"/>
  <c r="J46" i="13"/>
  <c r="I46" i="13"/>
  <c r="J45" i="13"/>
  <c r="I45" i="13"/>
  <c r="J44" i="13"/>
  <c r="I44" i="13"/>
  <c r="J43" i="13"/>
  <c r="I43" i="13"/>
  <c r="I42" i="13"/>
  <c r="I48" i="13" s="1"/>
  <c r="I60" i="13" s="1"/>
  <c r="I62" i="13" s="1"/>
  <c r="J41" i="13"/>
  <c r="I41" i="13"/>
  <c r="I40" i="13"/>
  <c r="I38" i="13"/>
  <c r="I37" i="13"/>
  <c r="I36" i="13"/>
  <c r="I35" i="13"/>
  <c r="H35" i="13"/>
  <c r="L34" i="13"/>
  <c r="J34" i="13"/>
  <c r="I34" i="13"/>
  <c r="J33" i="13"/>
  <c r="I33" i="13"/>
  <c r="H33" i="13"/>
  <c r="L31" i="13"/>
  <c r="J29" i="13"/>
  <c r="I29" i="13"/>
  <c r="L28" i="13"/>
  <c r="I23" i="13"/>
  <c r="L15" i="13"/>
  <c r="L13" i="13"/>
  <c r="B138" i="12"/>
  <c r="B136" i="12"/>
  <c r="B135" i="12"/>
  <c r="B134" i="12"/>
  <c r="B133" i="12"/>
  <c r="I132" i="12"/>
  <c r="B132" i="12"/>
  <c r="H121" i="12"/>
  <c r="H119" i="12"/>
  <c r="I105" i="12"/>
  <c r="I104" i="12"/>
  <c r="I109" i="12" s="1"/>
  <c r="I95" i="12"/>
  <c r="I90" i="12"/>
  <c r="H90" i="12"/>
  <c r="I89" i="12"/>
  <c r="H86" i="12"/>
  <c r="H84" i="12"/>
  <c r="H83" i="12"/>
  <c r="H82" i="12"/>
  <c r="H81" i="12"/>
  <c r="H80" i="12"/>
  <c r="I74" i="12"/>
  <c r="H70" i="12"/>
  <c r="H69" i="12"/>
  <c r="H68" i="12"/>
  <c r="I63" i="12"/>
  <c r="I61" i="12"/>
  <c r="I59" i="12"/>
  <c r="I55" i="12"/>
  <c r="J54" i="12"/>
  <c r="I54" i="12"/>
  <c r="J53" i="12"/>
  <c r="I53" i="12"/>
  <c r="J52" i="12"/>
  <c r="J51" i="12"/>
  <c r="H48" i="12"/>
  <c r="H71" i="12" s="1"/>
  <c r="J47" i="12"/>
  <c r="I47" i="12"/>
  <c r="J46" i="12"/>
  <c r="I46" i="12"/>
  <c r="J45" i="12"/>
  <c r="I45" i="12"/>
  <c r="J44" i="12"/>
  <c r="I44" i="12"/>
  <c r="J43" i="12"/>
  <c r="I43" i="12"/>
  <c r="I42" i="12"/>
  <c r="I48" i="12" s="1"/>
  <c r="I60" i="12" s="1"/>
  <c r="I62" i="12" s="1"/>
  <c r="J41" i="12"/>
  <c r="I41" i="12"/>
  <c r="I40" i="12"/>
  <c r="I38" i="12"/>
  <c r="I37" i="12"/>
  <c r="I36" i="12"/>
  <c r="I35" i="12"/>
  <c r="H35" i="12"/>
  <c r="L34" i="12"/>
  <c r="J34" i="12"/>
  <c r="I34" i="12"/>
  <c r="I33" i="12"/>
  <c r="H33" i="12"/>
  <c r="L31" i="12"/>
  <c r="J29" i="12"/>
  <c r="I29" i="12"/>
  <c r="L28" i="12"/>
  <c r="I23" i="12"/>
  <c r="L15" i="12"/>
  <c r="L13" i="12"/>
  <c r="B138" i="11"/>
  <c r="B136" i="11"/>
  <c r="B135" i="11"/>
  <c r="B134" i="11"/>
  <c r="B133" i="11"/>
  <c r="I132" i="11"/>
  <c r="B132" i="11"/>
  <c r="H121" i="11"/>
  <c r="H119" i="11"/>
  <c r="I105" i="11"/>
  <c r="I104" i="11"/>
  <c r="I109" i="11" s="1"/>
  <c r="I95" i="11"/>
  <c r="I90" i="11"/>
  <c r="H90" i="11"/>
  <c r="I89" i="11"/>
  <c r="H86" i="11"/>
  <c r="H84" i="11"/>
  <c r="H83" i="11"/>
  <c r="H82" i="11"/>
  <c r="H81" i="11"/>
  <c r="H80" i="11"/>
  <c r="I74" i="11"/>
  <c r="H70" i="11"/>
  <c r="H69" i="11"/>
  <c r="H68" i="11"/>
  <c r="I63" i="11"/>
  <c r="I61" i="11"/>
  <c r="I59" i="11"/>
  <c r="I55" i="11"/>
  <c r="J54" i="11"/>
  <c r="I54" i="11"/>
  <c r="J53" i="11"/>
  <c r="I53" i="11"/>
  <c r="J52" i="11"/>
  <c r="J51" i="11"/>
  <c r="H48" i="11"/>
  <c r="J33" i="11" s="1"/>
  <c r="J47" i="11"/>
  <c r="I47" i="11"/>
  <c r="J46" i="11"/>
  <c r="I46" i="11"/>
  <c r="J45" i="11"/>
  <c r="I45" i="11"/>
  <c r="J44" i="11"/>
  <c r="I44" i="11"/>
  <c r="J43" i="11"/>
  <c r="I43" i="11"/>
  <c r="I42" i="11"/>
  <c r="I48" i="11" s="1"/>
  <c r="I60" i="11" s="1"/>
  <c r="I62" i="11" s="1"/>
  <c r="J41" i="11"/>
  <c r="I41" i="11"/>
  <c r="I40" i="11"/>
  <c r="I38" i="11"/>
  <c r="I37" i="11"/>
  <c r="I36" i="11"/>
  <c r="I35" i="11"/>
  <c r="H35" i="11"/>
  <c r="L34" i="11"/>
  <c r="J34" i="11"/>
  <c r="I34" i="11"/>
  <c r="I33" i="11"/>
  <c r="H33" i="11"/>
  <c r="L31" i="11"/>
  <c r="J29" i="11"/>
  <c r="I29" i="11"/>
  <c r="L28" i="11"/>
  <c r="I23" i="11"/>
  <c r="L15" i="11"/>
  <c r="L13" i="11"/>
  <c r="B138" i="10"/>
  <c r="B136" i="10"/>
  <c r="B135" i="10"/>
  <c r="B134" i="10"/>
  <c r="B133" i="10"/>
  <c r="I132" i="10"/>
  <c r="B132" i="10"/>
  <c r="H121" i="10"/>
  <c r="H119" i="10"/>
  <c r="I105" i="10"/>
  <c r="I104" i="10"/>
  <c r="I136" i="10" s="1"/>
  <c r="I101" i="10"/>
  <c r="I95" i="10"/>
  <c r="I90" i="10"/>
  <c r="H90" i="10"/>
  <c r="I89" i="10"/>
  <c r="H86" i="10"/>
  <c r="H84" i="10"/>
  <c r="H83" i="10"/>
  <c r="H82" i="10"/>
  <c r="H81" i="10"/>
  <c r="H80" i="10"/>
  <c r="I74" i="10"/>
  <c r="H70" i="10"/>
  <c r="H69" i="10"/>
  <c r="H68" i="10"/>
  <c r="I63" i="10"/>
  <c r="I61" i="10"/>
  <c r="I59" i="10"/>
  <c r="I55" i="10"/>
  <c r="J54" i="10"/>
  <c r="I54" i="10"/>
  <c r="J53" i="10"/>
  <c r="I53" i="10"/>
  <c r="J52" i="10"/>
  <c r="J51" i="10"/>
  <c r="H48" i="10"/>
  <c r="J33" i="10" s="1"/>
  <c r="J47" i="10"/>
  <c r="I47" i="10"/>
  <c r="J46" i="10"/>
  <c r="I46" i="10"/>
  <c r="J45" i="10"/>
  <c r="I45" i="10"/>
  <c r="J44" i="10"/>
  <c r="I44" i="10"/>
  <c r="J43" i="10"/>
  <c r="I43" i="10"/>
  <c r="I42" i="10"/>
  <c r="I48" i="10" s="1"/>
  <c r="I60" i="10" s="1"/>
  <c r="I62" i="10" s="1"/>
  <c r="J41" i="10"/>
  <c r="I41" i="10"/>
  <c r="I40" i="10"/>
  <c r="I38" i="10"/>
  <c r="I37" i="10"/>
  <c r="I36" i="10"/>
  <c r="I35" i="10"/>
  <c r="H35" i="10"/>
  <c r="L34" i="10"/>
  <c r="J34" i="10"/>
  <c r="I34" i="10"/>
  <c r="I33" i="10"/>
  <c r="H33" i="10"/>
  <c r="L31" i="10"/>
  <c r="J29" i="10"/>
  <c r="I29" i="10"/>
  <c r="L28" i="10"/>
  <c r="I25" i="10"/>
  <c r="I23" i="10"/>
  <c r="L15" i="10"/>
  <c r="L13" i="10"/>
  <c r="B138" i="9"/>
  <c r="B136" i="9"/>
  <c r="B135" i="9"/>
  <c r="B134" i="9"/>
  <c r="B133" i="9"/>
  <c r="I132" i="9"/>
  <c r="B132" i="9"/>
  <c r="H121" i="9"/>
  <c r="H119" i="9"/>
  <c r="I105" i="9"/>
  <c r="I104" i="9"/>
  <c r="I109" i="9" s="1"/>
  <c r="I95" i="9"/>
  <c r="I90" i="9"/>
  <c r="H90" i="9"/>
  <c r="I89" i="9"/>
  <c r="H86" i="9"/>
  <c r="H84" i="9"/>
  <c r="H83" i="9"/>
  <c r="H82" i="9"/>
  <c r="H81" i="9"/>
  <c r="H80" i="9"/>
  <c r="I74" i="9"/>
  <c r="H70" i="9"/>
  <c r="H69" i="9"/>
  <c r="H68" i="9"/>
  <c r="I63" i="9"/>
  <c r="I61" i="9"/>
  <c r="I59" i="9"/>
  <c r="I55" i="9"/>
  <c r="J54" i="9"/>
  <c r="I54" i="9"/>
  <c r="J53" i="9"/>
  <c r="I53" i="9"/>
  <c r="J52" i="9"/>
  <c r="J51" i="9"/>
  <c r="H48" i="9"/>
  <c r="J34" i="9" s="1"/>
  <c r="J47" i="9"/>
  <c r="I47" i="9"/>
  <c r="J46" i="9"/>
  <c r="I46" i="9"/>
  <c r="J45" i="9"/>
  <c r="I45" i="9"/>
  <c r="J44" i="9"/>
  <c r="I44" i="9"/>
  <c r="J43" i="9"/>
  <c r="I43" i="9"/>
  <c r="I42" i="9"/>
  <c r="I48" i="9" s="1"/>
  <c r="I60" i="9" s="1"/>
  <c r="I62" i="9" s="1"/>
  <c r="J41" i="9"/>
  <c r="I41" i="9"/>
  <c r="I40" i="9"/>
  <c r="I38" i="9"/>
  <c r="I37" i="9"/>
  <c r="I36" i="9"/>
  <c r="I35" i="9"/>
  <c r="H35" i="9"/>
  <c r="L34" i="9"/>
  <c r="I34" i="9"/>
  <c r="I33" i="9"/>
  <c r="H33" i="9"/>
  <c r="L31" i="9"/>
  <c r="J29" i="9"/>
  <c r="I29" i="9"/>
  <c r="L28" i="9"/>
  <c r="I23" i="9"/>
  <c r="L15" i="9"/>
  <c r="L13" i="9"/>
  <c r="B138" i="8"/>
  <c r="B136" i="8"/>
  <c r="B135" i="8"/>
  <c r="B134" i="8"/>
  <c r="B133" i="8"/>
  <c r="I132" i="8"/>
  <c r="B132" i="8"/>
  <c r="H121" i="8"/>
  <c r="H119" i="8"/>
  <c r="I105" i="8"/>
  <c r="I104" i="8"/>
  <c r="I109" i="8" s="1"/>
  <c r="I101" i="8"/>
  <c r="I95" i="8"/>
  <c r="I90" i="8"/>
  <c r="H90" i="8"/>
  <c r="I89" i="8"/>
  <c r="H86" i="8"/>
  <c r="H84" i="8"/>
  <c r="H83" i="8"/>
  <c r="H82" i="8"/>
  <c r="H81" i="8"/>
  <c r="H80" i="8"/>
  <c r="I74" i="8"/>
  <c r="H71" i="8"/>
  <c r="H73" i="8" s="1"/>
  <c r="H70" i="8"/>
  <c r="H69" i="8"/>
  <c r="H68" i="8"/>
  <c r="I63" i="8"/>
  <c r="I61" i="8"/>
  <c r="I59" i="8"/>
  <c r="I55" i="8"/>
  <c r="J54" i="8"/>
  <c r="I54" i="8"/>
  <c r="J53" i="8"/>
  <c r="I53" i="8"/>
  <c r="J52" i="8"/>
  <c r="J51" i="8"/>
  <c r="H48" i="8"/>
  <c r="J33" i="8" s="1"/>
  <c r="J47" i="8"/>
  <c r="I47" i="8"/>
  <c r="J46" i="8"/>
  <c r="I46" i="8"/>
  <c r="J45" i="8"/>
  <c r="I45" i="8"/>
  <c r="J44" i="8"/>
  <c r="I44" i="8"/>
  <c r="J43" i="8"/>
  <c r="I43" i="8"/>
  <c r="I42" i="8"/>
  <c r="I48" i="8" s="1"/>
  <c r="I60" i="8" s="1"/>
  <c r="I62" i="8" s="1"/>
  <c r="J41" i="8"/>
  <c r="I41" i="8"/>
  <c r="I40" i="8"/>
  <c r="I38" i="8"/>
  <c r="I37" i="8"/>
  <c r="I36" i="8"/>
  <c r="I35" i="8"/>
  <c r="H35" i="8"/>
  <c r="L34" i="8"/>
  <c r="J34" i="8"/>
  <c r="I34" i="8"/>
  <c r="I33" i="8"/>
  <c r="H33" i="8"/>
  <c r="L31" i="8"/>
  <c r="J29" i="8"/>
  <c r="I29" i="8"/>
  <c r="L28" i="8"/>
  <c r="I25" i="8"/>
  <c r="I23" i="8"/>
  <c r="L15" i="8"/>
  <c r="L13" i="8"/>
  <c r="B138" i="7"/>
  <c r="B136" i="7"/>
  <c r="B135" i="7"/>
  <c r="B134" i="7"/>
  <c r="B133" i="7"/>
  <c r="I132" i="7"/>
  <c r="B132" i="7"/>
  <c r="H121" i="7"/>
  <c r="H119" i="7"/>
  <c r="I105" i="7"/>
  <c r="I104" i="7"/>
  <c r="I109" i="7" s="1"/>
  <c r="I101" i="7"/>
  <c r="I95" i="7"/>
  <c r="I90" i="7"/>
  <c r="H90" i="7"/>
  <c r="I89" i="7"/>
  <c r="H86" i="7"/>
  <c r="H84" i="7"/>
  <c r="H83" i="7"/>
  <c r="H82" i="7"/>
  <c r="H81" i="7"/>
  <c r="H80" i="7"/>
  <c r="I74" i="7"/>
  <c r="H70" i="7"/>
  <c r="H69" i="7"/>
  <c r="H68" i="7"/>
  <c r="I63" i="7"/>
  <c r="I61" i="7"/>
  <c r="I59" i="7"/>
  <c r="I55" i="7"/>
  <c r="J54" i="7"/>
  <c r="I54" i="7"/>
  <c r="J53" i="7"/>
  <c r="I53" i="7"/>
  <c r="J52" i="7"/>
  <c r="J51" i="7"/>
  <c r="H48" i="7"/>
  <c r="H71" i="7" s="1"/>
  <c r="J47" i="7"/>
  <c r="I47" i="7"/>
  <c r="J46" i="7"/>
  <c r="I46" i="7"/>
  <c r="J45" i="7"/>
  <c r="I45" i="7"/>
  <c r="J44" i="7"/>
  <c r="I44" i="7"/>
  <c r="J43" i="7"/>
  <c r="I43" i="7"/>
  <c r="I42" i="7"/>
  <c r="I48" i="7" s="1"/>
  <c r="I60" i="7" s="1"/>
  <c r="I62" i="7" s="1"/>
  <c r="J41" i="7"/>
  <c r="I41" i="7"/>
  <c r="I40" i="7"/>
  <c r="I38" i="7"/>
  <c r="I37" i="7"/>
  <c r="I36" i="7"/>
  <c r="I35" i="7"/>
  <c r="H35" i="7"/>
  <c r="L34" i="7"/>
  <c r="I34" i="7"/>
  <c r="I33" i="7"/>
  <c r="H33" i="7"/>
  <c r="L31" i="7"/>
  <c r="J29" i="7"/>
  <c r="I29" i="7"/>
  <c r="L28" i="7"/>
  <c r="I23" i="7"/>
  <c r="L15" i="7"/>
  <c r="L13" i="7"/>
  <c r="B138" i="6"/>
  <c r="B136" i="6"/>
  <c r="B135" i="6"/>
  <c r="B134" i="6"/>
  <c r="B133" i="6"/>
  <c r="I132" i="6"/>
  <c r="B132" i="6"/>
  <c r="H121" i="6"/>
  <c r="H119" i="6"/>
  <c r="I105" i="6"/>
  <c r="I104" i="6"/>
  <c r="I109" i="6" s="1"/>
  <c r="I101" i="6"/>
  <c r="I95" i="6"/>
  <c r="I90" i="6"/>
  <c r="H90" i="6"/>
  <c r="I89" i="6"/>
  <c r="H86" i="6"/>
  <c r="H84" i="6"/>
  <c r="H83" i="6"/>
  <c r="H82" i="6"/>
  <c r="H81" i="6"/>
  <c r="H80" i="6"/>
  <c r="I74" i="6"/>
  <c r="H70" i="6"/>
  <c r="H69" i="6"/>
  <c r="H68" i="6"/>
  <c r="I63" i="6"/>
  <c r="I61" i="6"/>
  <c r="I59" i="6"/>
  <c r="I55" i="6"/>
  <c r="J54" i="6"/>
  <c r="I54" i="6"/>
  <c r="J53" i="6"/>
  <c r="I53" i="6"/>
  <c r="J52" i="6"/>
  <c r="J51" i="6"/>
  <c r="H48" i="6"/>
  <c r="J33" i="6" s="1"/>
  <c r="J47" i="6"/>
  <c r="I47" i="6"/>
  <c r="J46" i="6"/>
  <c r="I46" i="6"/>
  <c r="J45" i="6"/>
  <c r="I45" i="6"/>
  <c r="J44" i="6"/>
  <c r="I44" i="6"/>
  <c r="J43" i="6"/>
  <c r="I43" i="6"/>
  <c r="I42" i="6"/>
  <c r="I48" i="6" s="1"/>
  <c r="I60" i="6" s="1"/>
  <c r="I62" i="6" s="1"/>
  <c r="J41" i="6"/>
  <c r="I41" i="6"/>
  <c r="I40" i="6"/>
  <c r="I38" i="6"/>
  <c r="I37" i="6"/>
  <c r="I36" i="6"/>
  <c r="I35" i="6"/>
  <c r="H35" i="6"/>
  <c r="L34" i="6"/>
  <c r="I34" i="6"/>
  <c r="I33" i="6"/>
  <c r="H33" i="6"/>
  <c r="L31" i="6"/>
  <c r="J29" i="6"/>
  <c r="I29" i="6"/>
  <c r="L28" i="6"/>
  <c r="I25" i="6"/>
  <c r="I23" i="6"/>
  <c r="L15" i="6"/>
  <c r="L13" i="6"/>
  <c r="B138" i="5"/>
  <c r="B136" i="5"/>
  <c r="B135" i="5"/>
  <c r="B134" i="5"/>
  <c r="B133" i="5"/>
  <c r="I132" i="5"/>
  <c r="B132" i="5"/>
  <c r="H121" i="5"/>
  <c r="H119" i="5"/>
  <c r="I109" i="5"/>
  <c r="I105" i="5"/>
  <c r="I104" i="5"/>
  <c r="I136" i="5" s="1"/>
  <c r="I101" i="5"/>
  <c r="I95" i="5"/>
  <c r="I90" i="5"/>
  <c r="H90" i="5"/>
  <c r="I89" i="5"/>
  <c r="H86" i="5"/>
  <c r="H84" i="5"/>
  <c r="H83" i="5"/>
  <c r="H82" i="5"/>
  <c r="H81" i="5"/>
  <c r="H80" i="5"/>
  <c r="I74" i="5"/>
  <c r="H70" i="5"/>
  <c r="H69" i="5"/>
  <c r="H68" i="5"/>
  <c r="I63" i="5"/>
  <c r="I61" i="5"/>
  <c r="I59" i="5"/>
  <c r="I55" i="5"/>
  <c r="J54" i="5"/>
  <c r="I54" i="5"/>
  <c r="J53" i="5"/>
  <c r="I53" i="5"/>
  <c r="J52" i="5"/>
  <c r="J51" i="5"/>
  <c r="H48" i="5"/>
  <c r="J33" i="5" s="1"/>
  <c r="J47" i="5"/>
  <c r="I47" i="5"/>
  <c r="J46" i="5"/>
  <c r="I46" i="5"/>
  <c r="J45" i="5"/>
  <c r="I45" i="5"/>
  <c r="J44" i="5"/>
  <c r="I44" i="5"/>
  <c r="J43" i="5"/>
  <c r="I43" i="5"/>
  <c r="I42" i="5"/>
  <c r="I48" i="5" s="1"/>
  <c r="I60" i="5" s="1"/>
  <c r="I62" i="5" s="1"/>
  <c r="J41" i="5"/>
  <c r="I41" i="5"/>
  <c r="I40" i="5"/>
  <c r="I38" i="5"/>
  <c r="I37" i="5"/>
  <c r="I36" i="5"/>
  <c r="I35" i="5"/>
  <c r="H35" i="5"/>
  <c r="L34" i="5"/>
  <c r="J34" i="5"/>
  <c r="I34" i="5"/>
  <c r="I33" i="5"/>
  <c r="H33" i="5"/>
  <c r="L31" i="5"/>
  <c r="J29" i="5"/>
  <c r="I29" i="5"/>
  <c r="L28" i="5"/>
  <c r="I23" i="5"/>
  <c r="L15" i="5"/>
  <c r="L13" i="5"/>
  <c r="A140" i="4"/>
  <c r="B137" i="4"/>
  <c r="B135" i="4"/>
  <c r="B134" i="4"/>
  <c r="B133" i="4"/>
  <c r="B132" i="4"/>
  <c r="I131" i="4"/>
  <c r="B131" i="4"/>
  <c r="H121" i="4"/>
  <c r="H119" i="4"/>
  <c r="I105" i="4"/>
  <c r="I104" i="4"/>
  <c r="I109" i="4" s="1"/>
  <c r="I95" i="4"/>
  <c r="I90" i="4"/>
  <c r="H90" i="4"/>
  <c r="I89" i="4"/>
  <c r="H86" i="4"/>
  <c r="H84" i="4"/>
  <c r="H83" i="4"/>
  <c r="H82" i="4"/>
  <c r="H81" i="4"/>
  <c r="H80" i="4"/>
  <c r="I74" i="4"/>
  <c r="H70" i="4"/>
  <c r="H69" i="4"/>
  <c r="H68" i="4"/>
  <c r="I63" i="4"/>
  <c r="I61" i="4"/>
  <c r="I59" i="4"/>
  <c r="I55" i="4"/>
  <c r="J54" i="4"/>
  <c r="I54" i="4"/>
  <c r="J53" i="4"/>
  <c r="I53" i="4"/>
  <c r="J52" i="4"/>
  <c r="J51" i="4"/>
  <c r="H48" i="4"/>
  <c r="H71" i="4" s="1"/>
  <c r="J47" i="4"/>
  <c r="I47" i="4"/>
  <c r="J46" i="4"/>
  <c r="I46" i="4"/>
  <c r="J45" i="4"/>
  <c r="I45" i="4"/>
  <c r="J44" i="4"/>
  <c r="I44" i="4"/>
  <c r="J43" i="4"/>
  <c r="I43" i="4"/>
  <c r="I42" i="4"/>
  <c r="I48" i="4" s="1"/>
  <c r="I60" i="4" s="1"/>
  <c r="I62" i="4" s="1"/>
  <c r="J41" i="4"/>
  <c r="I41" i="4"/>
  <c r="I40" i="4"/>
  <c r="I38" i="4"/>
  <c r="I37" i="4"/>
  <c r="I36" i="4"/>
  <c r="I35" i="4"/>
  <c r="H35" i="4"/>
  <c r="L34" i="4"/>
  <c r="I34" i="4"/>
  <c r="I33" i="4"/>
  <c r="H33" i="4"/>
  <c r="L31" i="4"/>
  <c r="J29" i="4"/>
  <c r="I29" i="4"/>
  <c r="L28" i="4"/>
  <c r="I23" i="4"/>
  <c r="L15" i="4"/>
  <c r="L13" i="4"/>
  <c r="B137" i="3"/>
  <c r="B135" i="3"/>
  <c r="B134" i="3"/>
  <c r="B133" i="3"/>
  <c r="B132" i="3"/>
  <c r="I131" i="3"/>
  <c r="B131" i="3"/>
  <c r="H121" i="3"/>
  <c r="H119" i="3"/>
  <c r="I105" i="3"/>
  <c r="I104" i="3"/>
  <c r="L14" i="3" s="1"/>
  <c r="L16" i="3" s="1"/>
  <c r="I95" i="3"/>
  <c r="I90" i="3"/>
  <c r="H90" i="3"/>
  <c r="I89" i="3"/>
  <c r="H86" i="3"/>
  <c r="H84" i="3"/>
  <c r="H83" i="3"/>
  <c r="H82" i="3"/>
  <c r="H81" i="3"/>
  <c r="H80" i="3"/>
  <c r="I74" i="3"/>
  <c r="H70" i="3"/>
  <c r="H69" i="3"/>
  <c r="H68" i="3"/>
  <c r="I63" i="3"/>
  <c r="I61" i="3"/>
  <c r="I59" i="3"/>
  <c r="I55" i="3"/>
  <c r="J54" i="3"/>
  <c r="I54" i="3"/>
  <c r="J53" i="3"/>
  <c r="I53" i="3"/>
  <c r="J52" i="3"/>
  <c r="J51" i="3"/>
  <c r="H48" i="3"/>
  <c r="J33" i="3" s="1"/>
  <c r="J47" i="3"/>
  <c r="I47" i="3"/>
  <c r="J46" i="3"/>
  <c r="I46" i="3"/>
  <c r="J45" i="3"/>
  <c r="I45" i="3"/>
  <c r="J44" i="3"/>
  <c r="I44" i="3"/>
  <c r="J43" i="3"/>
  <c r="I43" i="3"/>
  <c r="I42" i="3"/>
  <c r="I48" i="3" s="1"/>
  <c r="I60" i="3" s="1"/>
  <c r="I62" i="3" s="1"/>
  <c r="J41" i="3"/>
  <c r="I41" i="3"/>
  <c r="I40" i="3"/>
  <c r="I38" i="3"/>
  <c r="I37" i="3"/>
  <c r="I36" i="3"/>
  <c r="I35" i="3"/>
  <c r="H35" i="3"/>
  <c r="L34" i="3"/>
  <c r="I34" i="3"/>
  <c r="I33" i="3"/>
  <c r="H33" i="3"/>
  <c r="L31" i="3"/>
  <c r="J29" i="3"/>
  <c r="I29" i="3"/>
  <c r="L28" i="3"/>
  <c r="I23" i="3"/>
  <c r="L15" i="3"/>
  <c r="L13" i="3"/>
  <c r="G321" i="2"/>
  <c r="G320" i="2"/>
  <c r="G319" i="2"/>
  <c r="A319" i="2"/>
  <c r="G317" i="2"/>
  <c r="F317" i="2"/>
  <c r="E317" i="2"/>
  <c r="G316" i="2"/>
  <c r="F316" i="2"/>
  <c r="E316" i="2"/>
  <c r="D316" i="2"/>
  <c r="C316" i="2"/>
  <c r="G315" i="2"/>
  <c r="F315" i="2"/>
  <c r="E315" i="2"/>
  <c r="D315" i="2"/>
  <c r="C315" i="2"/>
  <c r="G313" i="2"/>
  <c r="F313" i="2"/>
  <c r="E313" i="2"/>
  <c r="G312" i="2"/>
  <c r="F312" i="2"/>
  <c r="E312" i="2"/>
  <c r="G311" i="2"/>
  <c r="F311" i="2"/>
  <c r="E311" i="2"/>
  <c r="G310" i="2"/>
  <c r="F310" i="2"/>
  <c r="E310" i="2"/>
  <c r="D310" i="2"/>
  <c r="C310" i="2"/>
  <c r="G308" i="2"/>
  <c r="F308" i="2"/>
  <c r="E308" i="2"/>
  <c r="G307" i="2"/>
  <c r="F307" i="2"/>
  <c r="E307" i="2"/>
  <c r="D307" i="2"/>
  <c r="C307" i="2"/>
  <c r="G305" i="2"/>
  <c r="F305" i="2"/>
  <c r="E305" i="2"/>
  <c r="D305" i="2"/>
  <c r="G304" i="2"/>
  <c r="F304" i="2"/>
  <c r="E304" i="2"/>
  <c r="G303" i="2"/>
  <c r="F303" i="2"/>
  <c r="E303" i="2"/>
  <c r="C303" i="2"/>
  <c r="G302" i="2"/>
  <c r="F302" i="2"/>
  <c r="E302" i="2"/>
  <c r="D302" i="2"/>
  <c r="C302" i="2"/>
  <c r="G300" i="2"/>
  <c r="F300" i="2"/>
  <c r="E300" i="2"/>
  <c r="G299" i="2"/>
  <c r="F299" i="2"/>
  <c r="E299" i="2"/>
  <c r="G298" i="2"/>
  <c r="F298" i="2"/>
  <c r="E298" i="2"/>
  <c r="G297" i="2"/>
  <c r="F297" i="2"/>
  <c r="E297" i="2"/>
  <c r="G296" i="2"/>
  <c r="F296" i="2"/>
  <c r="E296" i="2"/>
  <c r="D296" i="2"/>
  <c r="C296" i="2"/>
  <c r="G294" i="2"/>
  <c r="F294" i="2"/>
  <c r="E294" i="2"/>
  <c r="G293" i="2"/>
  <c r="F293" i="2"/>
  <c r="E293" i="2"/>
  <c r="G292" i="2"/>
  <c r="F292" i="2"/>
  <c r="E292" i="2"/>
  <c r="D292" i="2"/>
  <c r="C292" i="2"/>
  <c r="G291" i="2"/>
  <c r="F291" i="2"/>
  <c r="E291" i="2"/>
  <c r="D291" i="2"/>
  <c r="C291" i="2"/>
  <c r="G289" i="2"/>
  <c r="F289" i="2"/>
  <c r="E289" i="2"/>
  <c r="G288" i="2"/>
  <c r="F288" i="2"/>
  <c r="E288" i="2"/>
  <c r="D288" i="2"/>
  <c r="C288" i="2"/>
  <c r="G286" i="2"/>
  <c r="F286" i="2"/>
  <c r="E286" i="2"/>
  <c r="G285" i="2"/>
  <c r="F285" i="2"/>
  <c r="E285" i="2"/>
  <c r="G284" i="2"/>
  <c r="F284" i="2"/>
  <c r="E284" i="2"/>
  <c r="D284" i="2"/>
  <c r="C284" i="2"/>
  <c r="G282" i="2"/>
  <c r="F282" i="2"/>
  <c r="E282" i="2"/>
  <c r="G281" i="2"/>
  <c r="F281" i="2"/>
  <c r="E281" i="2"/>
  <c r="D281" i="2"/>
  <c r="C281" i="2"/>
  <c r="G279" i="2"/>
  <c r="F279" i="2"/>
  <c r="E279" i="2"/>
  <c r="G278" i="2"/>
  <c r="F278" i="2"/>
  <c r="E278" i="2"/>
  <c r="G277" i="2"/>
  <c r="F277" i="2"/>
  <c r="E277" i="2"/>
  <c r="G276" i="2"/>
  <c r="F276" i="2"/>
  <c r="E276" i="2"/>
  <c r="D276" i="2"/>
  <c r="C276" i="2"/>
  <c r="G275" i="2"/>
  <c r="F275" i="2"/>
  <c r="E275" i="2"/>
  <c r="D275" i="2"/>
  <c r="C275" i="2"/>
  <c r="G273" i="2"/>
  <c r="F273" i="2"/>
  <c r="E273" i="2"/>
  <c r="G272" i="2"/>
  <c r="F272" i="2"/>
  <c r="E272" i="2"/>
  <c r="D272" i="2"/>
  <c r="C272" i="2"/>
  <c r="G270" i="2"/>
  <c r="F270" i="2"/>
  <c r="E270" i="2"/>
  <c r="G269" i="2"/>
  <c r="F269" i="2"/>
  <c r="E269" i="2"/>
  <c r="G268" i="2"/>
  <c r="F268" i="2"/>
  <c r="E268" i="2"/>
  <c r="G267" i="2"/>
  <c r="F267" i="2"/>
  <c r="E267" i="2"/>
  <c r="G266" i="2"/>
  <c r="F266" i="2"/>
  <c r="E266" i="2"/>
  <c r="D266" i="2"/>
  <c r="C266" i="2"/>
  <c r="G265" i="2"/>
  <c r="F265" i="2"/>
  <c r="E265" i="2"/>
  <c r="D265" i="2"/>
  <c r="C265" i="2"/>
  <c r="G263" i="2"/>
  <c r="F263" i="2"/>
  <c r="E263" i="2"/>
  <c r="G262" i="2"/>
  <c r="F262" i="2"/>
  <c r="E262" i="2"/>
  <c r="G261" i="2"/>
  <c r="F261" i="2"/>
  <c r="E261" i="2"/>
  <c r="G260" i="2"/>
  <c r="F260" i="2"/>
  <c r="E260" i="2"/>
  <c r="D260" i="2"/>
  <c r="C260" i="2"/>
  <c r="G258" i="2"/>
  <c r="F258" i="2"/>
  <c r="E258" i="2"/>
  <c r="G257" i="2"/>
  <c r="F257" i="2"/>
  <c r="E257" i="2"/>
  <c r="D257" i="2"/>
  <c r="C257" i="2"/>
  <c r="G255" i="2"/>
  <c r="F255" i="2"/>
  <c r="E255" i="2"/>
  <c r="G254" i="2"/>
  <c r="F254" i="2"/>
  <c r="E254" i="2"/>
  <c r="G253" i="2"/>
  <c r="F253" i="2"/>
  <c r="E253" i="2"/>
  <c r="G252" i="2"/>
  <c r="F252" i="2"/>
  <c r="E252" i="2"/>
  <c r="G251" i="2"/>
  <c r="F251" i="2"/>
  <c r="E251" i="2"/>
  <c r="G250" i="2"/>
  <c r="F250" i="2"/>
  <c r="E250" i="2"/>
  <c r="G249" i="2"/>
  <c r="F249" i="2"/>
  <c r="E249" i="2"/>
  <c r="D249" i="2"/>
  <c r="C249" i="2"/>
  <c r="G247" i="2"/>
  <c r="F247" i="2"/>
  <c r="E247" i="2"/>
  <c r="G246" i="2"/>
  <c r="F246" i="2"/>
  <c r="E246" i="2"/>
  <c r="D246" i="2"/>
  <c r="C246" i="2"/>
  <c r="G244" i="2"/>
  <c r="F244" i="2"/>
  <c r="E244" i="2"/>
  <c r="G243" i="2"/>
  <c r="F243" i="2"/>
  <c r="E243" i="2"/>
  <c r="G242" i="2"/>
  <c r="F242" i="2"/>
  <c r="E242" i="2"/>
  <c r="G241" i="2"/>
  <c r="F241" i="2"/>
  <c r="E241" i="2"/>
  <c r="D241" i="2"/>
  <c r="C241" i="2"/>
  <c r="G240" i="2"/>
  <c r="F240" i="2"/>
  <c r="E240" i="2"/>
  <c r="D240" i="2"/>
  <c r="C240" i="2"/>
  <c r="G239" i="2"/>
  <c r="F239" i="2"/>
  <c r="E239" i="2"/>
  <c r="D239" i="2"/>
  <c r="C239" i="2"/>
  <c r="G237" i="2"/>
  <c r="F237" i="2"/>
  <c r="E237" i="2"/>
  <c r="G236" i="2"/>
  <c r="F236" i="2"/>
  <c r="E236" i="2"/>
  <c r="G235" i="2"/>
  <c r="F235" i="2"/>
  <c r="E235" i="2"/>
  <c r="G234" i="2"/>
  <c r="F234" i="2"/>
  <c r="E234" i="2"/>
  <c r="D234" i="2"/>
  <c r="C234" i="2"/>
  <c r="G232" i="2"/>
  <c r="F232" i="2"/>
  <c r="E232" i="2"/>
  <c r="G231" i="2"/>
  <c r="F231" i="2"/>
  <c r="E231" i="2"/>
  <c r="G230" i="2"/>
  <c r="F230" i="2"/>
  <c r="E230" i="2"/>
  <c r="D230" i="2"/>
  <c r="C230" i="2"/>
  <c r="G228" i="2"/>
  <c r="F228" i="2"/>
  <c r="E228" i="2"/>
  <c r="G227" i="2"/>
  <c r="F227" i="2"/>
  <c r="E227" i="2"/>
  <c r="G226" i="2"/>
  <c r="F226" i="2"/>
  <c r="E226" i="2"/>
  <c r="G225" i="2"/>
  <c r="F225" i="2"/>
  <c r="E225" i="2"/>
  <c r="G224" i="2"/>
  <c r="F224" i="2"/>
  <c r="E224" i="2"/>
  <c r="D224" i="2"/>
  <c r="C224" i="2"/>
  <c r="G222" i="2"/>
  <c r="F222" i="2"/>
  <c r="E222" i="2"/>
  <c r="G221" i="2"/>
  <c r="F221" i="2"/>
  <c r="E221" i="2"/>
  <c r="G220" i="2"/>
  <c r="F220" i="2"/>
  <c r="E220" i="2"/>
  <c r="D220" i="2"/>
  <c r="C220" i="2"/>
  <c r="G218" i="2"/>
  <c r="F218" i="2"/>
  <c r="E218" i="2"/>
  <c r="G217" i="2"/>
  <c r="F217" i="2"/>
  <c r="E217" i="2"/>
  <c r="G216" i="2"/>
  <c r="F216" i="2"/>
  <c r="E216" i="2"/>
  <c r="G215" i="2"/>
  <c r="F215" i="2"/>
  <c r="E215" i="2"/>
  <c r="G214" i="2"/>
  <c r="F214" i="2"/>
  <c r="E214" i="2"/>
  <c r="C214" i="2"/>
  <c r="G213" i="2"/>
  <c r="F213" i="2"/>
  <c r="E213" i="2"/>
  <c r="D213" i="2"/>
  <c r="C213" i="2"/>
  <c r="G212" i="2"/>
  <c r="F212" i="2"/>
  <c r="C212" i="2"/>
  <c r="G210" i="2"/>
  <c r="F210" i="2"/>
  <c r="E210" i="2"/>
  <c r="G209" i="2"/>
  <c r="F209" i="2"/>
  <c r="E209" i="2"/>
  <c r="G208" i="2"/>
  <c r="F208" i="2"/>
  <c r="E208" i="2"/>
  <c r="D208" i="2"/>
  <c r="C208" i="2"/>
  <c r="G206" i="2"/>
  <c r="F206" i="2"/>
  <c r="E206" i="2"/>
  <c r="G205" i="2"/>
  <c r="F205" i="2"/>
  <c r="E205" i="2"/>
  <c r="G204" i="2"/>
  <c r="F204" i="2"/>
  <c r="E204" i="2"/>
  <c r="D204" i="2"/>
  <c r="C204" i="2"/>
  <c r="G202" i="2"/>
  <c r="F202" i="2"/>
  <c r="E202" i="2"/>
  <c r="G201" i="2"/>
  <c r="F201" i="2"/>
  <c r="E201" i="2"/>
  <c r="G200" i="2"/>
  <c r="F200" i="2"/>
  <c r="E200" i="2"/>
  <c r="G199" i="2"/>
  <c r="F199" i="2"/>
  <c r="E199" i="2"/>
  <c r="G198" i="2"/>
  <c r="F198" i="2"/>
  <c r="E198" i="2"/>
  <c r="G197" i="2"/>
  <c r="F197" i="2"/>
  <c r="E197" i="2"/>
  <c r="D197" i="2"/>
  <c r="C197" i="2"/>
  <c r="G196" i="2"/>
  <c r="F196" i="2"/>
  <c r="C196" i="2"/>
  <c r="G194" i="2"/>
  <c r="F194" i="2"/>
  <c r="E194" i="2"/>
  <c r="C194" i="2"/>
  <c r="G193" i="2"/>
  <c r="F193" i="2"/>
  <c r="E193" i="2"/>
  <c r="G192" i="2"/>
  <c r="F192" i="2"/>
  <c r="E192" i="2"/>
  <c r="D192" i="2"/>
  <c r="C192" i="2"/>
  <c r="G190" i="2"/>
  <c r="F190" i="2"/>
  <c r="E190" i="2"/>
  <c r="G189" i="2"/>
  <c r="F189" i="2"/>
  <c r="E189" i="2"/>
  <c r="G188" i="2"/>
  <c r="F188" i="2"/>
  <c r="E188" i="2"/>
  <c r="C188" i="2"/>
  <c r="G187" i="2"/>
  <c r="F187" i="2"/>
  <c r="E187" i="2"/>
  <c r="C187" i="2"/>
  <c r="G186" i="2"/>
  <c r="F186" i="2"/>
  <c r="E186" i="2"/>
  <c r="C186" i="2"/>
  <c r="G185" i="2"/>
  <c r="F185" i="2"/>
  <c r="E185" i="2"/>
  <c r="D185" i="2"/>
  <c r="C185" i="2"/>
  <c r="G184" i="2"/>
  <c r="F184" i="2"/>
  <c r="E184" i="2"/>
  <c r="D184" i="2"/>
  <c r="C184" i="2"/>
  <c r="G182" i="2"/>
  <c r="F182" i="2"/>
  <c r="E182" i="2"/>
  <c r="G181" i="2"/>
  <c r="F181" i="2"/>
  <c r="E181" i="2"/>
  <c r="G180" i="2"/>
  <c r="F180" i="2"/>
  <c r="E180" i="2"/>
  <c r="D180" i="2"/>
  <c r="C180" i="2"/>
  <c r="G178" i="2"/>
  <c r="F178" i="2"/>
  <c r="E178" i="2"/>
  <c r="G177" i="2"/>
  <c r="F177" i="2"/>
  <c r="E177" i="2"/>
  <c r="D177" i="2"/>
  <c r="C177" i="2"/>
  <c r="G175" i="2"/>
  <c r="F175" i="2"/>
  <c r="E175" i="2"/>
  <c r="G174" i="2"/>
  <c r="F174" i="2"/>
  <c r="E174" i="2"/>
  <c r="G173" i="2"/>
  <c r="F173" i="2"/>
  <c r="E173" i="2"/>
  <c r="D173" i="2"/>
  <c r="C173" i="2"/>
  <c r="G171" i="2"/>
  <c r="F171" i="2"/>
  <c r="E171" i="2"/>
  <c r="G170" i="2"/>
  <c r="F170" i="2"/>
  <c r="E170" i="2"/>
  <c r="G169" i="2"/>
  <c r="F169" i="2"/>
  <c r="E169" i="2"/>
  <c r="D169" i="2"/>
  <c r="C169" i="2"/>
  <c r="G168" i="2"/>
  <c r="F168" i="2"/>
  <c r="E168" i="2"/>
  <c r="D168" i="2"/>
  <c r="C168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D163" i="2"/>
  <c r="C163" i="2"/>
  <c r="G161" i="2"/>
  <c r="F161" i="2"/>
  <c r="E161" i="2"/>
  <c r="G160" i="2"/>
  <c r="F160" i="2"/>
  <c r="E160" i="2"/>
  <c r="G159" i="2"/>
  <c r="F159" i="2"/>
  <c r="E159" i="2"/>
  <c r="G158" i="2"/>
  <c r="F158" i="2"/>
  <c r="E158" i="2"/>
  <c r="D158" i="2"/>
  <c r="C158" i="2"/>
  <c r="G156" i="2"/>
  <c r="F156" i="2"/>
  <c r="E156" i="2"/>
  <c r="G155" i="2"/>
  <c r="F155" i="2"/>
  <c r="E155" i="2"/>
  <c r="G154" i="2"/>
  <c r="F154" i="2"/>
  <c r="E154" i="2"/>
  <c r="D154" i="2"/>
  <c r="C154" i="2"/>
  <c r="G152" i="2"/>
  <c r="F152" i="2"/>
  <c r="E152" i="2"/>
  <c r="G151" i="2"/>
  <c r="F151" i="2"/>
  <c r="E151" i="2"/>
  <c r="G150" i="2"/>
  <c r="F150" i="2"/>
  <c r="E150" i="2"/>
  <c r="C150" i="2"/>
  <c r="G149" i="2"/>
  <c r="F149" i="2"/>
  <c r="E149" i="2"/>
  <c r="D149" i="2"/>
  <c r="C149" i="2"/>
  <c r="G148" i="2"/>
  <c r="F148" i="2"/>
  <c r="E148" i="2"/>
  <c r="D148" i="2"/>
  <c r="C148" i="2"/>
  <c r="G146" i="2"/>
  <c r="F146" i="2"/>
  <c r="E146" i="2"/>
  <c r="G145" i="2"/>
  <c r="F145" i="2"/>
  <c r="E145" i="2"/>
  <c r="C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D140" i="2"/>
  <c r="C140" i="2"/>
  <c r="G138" i="2"/>
  <c r="F138" i="2"/>
  <c r="E138" i="2"/>
  <c r="G137" i="2"/>
  <c r="F137" i="2"/>
  <c r="E137" i="2"/>
  <c r="D137" i="2"/>
  <c r="C137" i="2"/>
  <c r="G135" i="2"/>
  <c r="F135" i="2"/>
  <c r="E135" i="2"/>
  <c r="G134" i="2"/>
  <c r="F134" i="2"/>
  <c r="E134" i="2"/>
  <c r="G133" i="2"/>
  <c r="F133" i="2"/>
  <c r="E133" i="2"/>
  <c r="D133" i="2"/>
  <c r="C133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D128" i="2"/>
  <c r="C128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D117" i="2"/>
  <c r="C117" i="2"/>
  <c r="G116" i="2"/>
  <c r="F116" i="2"/>
  <c r="E116" i="2"/>
  <c r="D116" i="2"/>
  <c r="C116" i="2"/>
  <c r="G115" i="2"/>
  <c r="F115" i="2"/>
  <c r="E115" i="2"/>
  <c r="D115" i="2"/>
  <c r="C115" i="2"/>
  <c r="F107" i="2"/>
  <c r="F106" i="2"/>
  <c r="F104" i="2"/>
  <c r="F103" i="2"/>
  <c r="F101" i="2"/>
  <c r="F100" i="2"/>
  <c r="F98" i="2"/>
  <c r="F97" i="2"/>
  <c r="F95" i="2"/>
  <c r="F94" i="2"/>
  <c r="F92" i="2"/>
  <c r="F91" i="2"/>
  <c r="F89" i="2"/>
  <c r="F88" i="2"/>
  <c r="F86" i="2"/>
  <c r="F85" i="2"/>
  <c r="F80" i="2"/>
  <c r="F79" i="2"/>
  <c r="F77" i="2"/>
  <c r="F76" i="2"/>
  <c r="D70" i="2"/>
  <c r="D64" i="2"/>
  <c r="D58" i="2"/>
  <c r="D52" i="2"/>
  <c r="D46" i="2"/>
  <c r="D40" i="2"/>
  <c r="D34" i="2"/>
  <c r="D28" i="2"/>
  <c r="D22" i="2"/>
  <c r="D16" i="2"/>
  <c r="D10" i="2"/>
  <c r="I136" i="15" l="1"/>
  <c r="L14" i="15"/>
  <c r="L16" i="15" s="1"/>
  <c r="I75" i="15"/>
  <c r="I133" i="15"/>
  <c r="I64" i="15"/>
  <c r="I65" i="15" s="1"/>
  <c r="I106" i="15"/>
  <c r="H71" i="15"/>
  <c r="J33" i="15"/>
  <c r="L14" i="14"/>
  <c r="L16" i="14" s="1"/>
  <c r="I136" i="14"/>
  <c r="H73" i="14"/>
  <c r="I71" i="14"/>
  <c r="I75" i="14"/>
  <c r="I133" i="14"/>
  <c r="I64" i="14"/>
  <c r="I65" i="14" s="1"/>
  <c r="I106" i="14"/>
  <c r="L14" i="13"/>
  <c r="L16" i="13" s="1"/>
  <c r="I136" i="13"/>
  <c r="I106" i="13"/>
  <c r="I75" i="13"/>
  <c r="I133" i="13"/>
  <c r="I64" i="13"/>
  <c r="I65" i="13" s="1"/>
  <c r="I71" i="13" s="1"/>
  <c r="L14" i="12"/>
  <c r="L16" i="12" s="1"/>
  <c r="I136" i="12"/>
  <c r="I71" i="12"/>
  <c r="H73" i="12"/>
  <c r="I106" i="12"/>
  <c r="I75" i="12"/>
  <c r="I133" i="12"/>
  <c r="I64" i="12"/>
  <c r="I65" i="12" s="1"/>
  <c r="J33" i="12"/>
  <c r="L14" i="11"/>
  <c r="L16" i="11" s="1"/>
  <c r="I136" i="11"/>
  <c r="I106" i="11"/>
  <c r="I64" i="11"/>
  <c r="I65" i="11" s="1"/>
  <c r="I75" i="11"/>
  <c r="I133" i="11"/>
  <c r="H71" i="11"/>
  <c r="I109" i="10"/>
  <c r="L14" i="10"/>
  <c r="L16" i="10" s="1"/>
  <c r="I64" i="10"/>
  <c r="I65" i="10" s="1"/>
  <c r="I106" i="10"/>
  <c r="I75" i="10"/>
  <c r="I133" i="10"/>
  <c r="H71" i="10"/>
  <c r="I136" i="9"/>
  <c r="L14" i="9"/>
  <c r="L16" i="9" s="1"/>
  <c r="I75" i="9"/>
  <c r="I133" i="9"/>
  <c r="I64" i="9"/>
  <c r="I65" i="9" s="1"/>
  <c r="I106" i="9"/>
  <c r="H71" i="9"/>
  <c r="J33" i="9"/>
  <c r="L14" i="8"/>
  <c r="L16" i="8" s="1"/>
  <c r="I136" i="8"/>
  <c r="I75" i="8"/>
  <c r="I133" i="8"/>
  <c r="I64" i="8"/>
  <c r="I65" i="8" s="1"/>
  <c r="I106" i="8"/>
  <c r="I71" i="8"/>
  <c r="I136" i="7"/>
  <c r="L14" i="7"/>
  <c r="L16" i="7" s="1"/>
  <c r="J33" i="7"/>
  <c r="H73" i="7"/>
  <c r="I106" i="7"/>
  <c r="I75" i="7"/>
  <c r="I133" i="7"/>
  <c r="I64" i="7"/>
  <c r="I65" i="7" s="1"/>
  <c r="J34" i="7"/>
  <c r="L14" i="6"/>
  <c r="L16" i="6" s="1"/>
  <c r="I136" i="6"/>
  <c r="I106" i="6"/>
  <c r="I75" i="6"/>
  <c r="I133" i="6"/>
  <c r="I64" i="6"/>
  <c r="I65" i="6" s="1"/>
  <c r="J34" i="6"/>
  <c r="H71" i="6"/>
  <c r="L14" i="5"/>
  <c r="L16" i="5" s="1"/>
  <c r="I133" i="5"/>
  <c r="I64" i="5"/>
  <c r="I65" i="5" s="1"/>
  <c r="I106" i="5"/>
  <c r="I75" i="5"/>
  <c r="H71" i="5"/>
  <c r="J33" i="4"/>
  <c r="J34" i="4"/>
  <c r="H73" i="4"/>
  <c r="I132" i="4"/>
  <c r="I106" i="4"/>
  <c r="I75" i="4"/>
  <c r="I64" i="4"/>
  <c r="I65" i="4" s="1"/>
  <c r="I71" i="4" s="1"/>
  <c r="L14" i="4"/>
  <c r="L16" i="4" s="1"/>
  <c r="I135" i="4"/>
  <c r="I135" i="3"/>
  <c r="I109" i="3"/>
  <c r="J34" i="3"/>
  <c r="I106" i="3"/>
  <c r="I75" i="3"/>
  <c r="I64" i="3"/>
  <c r="I65" i="3" s="1"/>
  <c r="I132" i="3"/>
  <c r="H71" i="3"/>
  <c r="H73" i="15" l="1"/>
  <c r="I71" i="15"/>
  <c r="I68" i="15"/>
  <c r="I72" i="15"/>
  <c r="J72" i="15" s="1"/>
  <c r="J138" i="15" s="1"/>
  <c r="L8" i="15" s="1"/>
  <c r="I70" i="15"/>
  <c r="I69" i="15"/>
  <c r="I69" i="14"/>
  <c r="I68" i="14"/>
  <c r="I72" i="14"/>
  <c r="J72" i="14" s="1"/>
  <c r="J138" i="14" s="1"/>
  <c r="L8" i="14" s="1"/>
  <c r="I70" i="14"/>
  <c r="I70" i="13"/>
  <c r="I69" i="13"/>
  <c r="I68" i="13"/>
  <c r="I72" i="13"/>
  <c r="J72" i="13" s="1"/>
  <c r="J138" i="13" s="1"/>
  <c r="L8" i="13" s="1"/>
  <c r="I70" i="12"/>
  <c r="I69" i="12"/>
  <c r="I68" i="12"/>
  <c r="I72" i="12"/>
  <c r="J72" i="12" s="1"/>
  <c r="J138" i="12" s="1"/>
  <c r="L8" i="12" s="1"/>
  <c r="I71" i="11"/>
  <c r="H73" i="11"/>
  <c r="I72" i="11"/>
  <c r="J72" i="11" s="1"/>
  <c r="J138" i="11" s="1"/>
  <c r="L8" i="11" s="1"/>
  <c r="I70" i="11"/>
  <c r="I69" i="11"/>
  <c r="I68" i="11"/>
  <c r="H73" i="10"/>
  <c r="I71" i="10"/>
  <c r="I68" i="10"/>
  <c r="I72" i="10"/>
  <c r="J72" i="10" s="1"/>
  <c r="J138" i="10" s="1"/>
  <c r="L8" i="10" s="1"/>
  <c r="I70" i="10"/>
  <c r="I69" i="10"/>
  <c r="J138" i="9"/>
  <c r="L8" i="9" s="1"/>
  <c r="H73" i="9"/>
  <c r="I71" i="9"/>
  <c r="I68" i="9"/>
  <c r="I72" i="9"/>
  <c r="J72" i="9" s="1"/>
  <c r="I70" i="9"/>
  <c r="I69" i="9"/>
  <c r="I69" i="8"/>
  <c r="I68" i="8"/>
  <c r="I72" i="8"/>
  <c r="J72" i="8" s="1"/>
  <c r="J138" i="8" s="1"/>
  <c r="L8" i="8" s="1"/>
  <c r="I70" i="8"/>
  <c r="I70" i="7"/>
  <c r="I69" i="7"/>
  <c r="I68" i="7"/>
  <c r="I72" i="7"/>
  <c r="J72" i="7" s="1"/>
  <c r="J138" i="7" s="1"/>
  <c r="L8" i="7" s="1"/>
  <c r="I71" i="7"/>
  <c r="I71" i="6"/>
  <c r="H73" i="6"/>
  <c r="I72" i="6"/>
  <c r="J72" i="6" s="1"/>
  <c r="J138" i="6" s="1"/>
  <c r="L8" i="6" s="1"/>
  <c r="I70" i="6"/>
  <c r="I69" i="6"/>
  <c r="I68" i="6"/>
  <c r="H73" i="5"/>
  <c r="I71" i="5"/>
  <c r="I72" i="5"/>
  <c r="J72" i="5" s="1"/>
  <c r="J138" i="5" s="1"/>
  <c r="L8" i="5" s="1"/>
  <c r="I70" i="5"/>
  <c r="I69" i="5"/>
  <c r="I68" i="5"/>
  <c r="I72" i="4"/>
  <c r="J72" i="4" s="1"/>
  <c r="J137" i="4" s="1"/>
  <c r="L8" i="4" s="1"/>
  <c r="I70" i="4"/>
  <c r="I69" i="4"/>
  <c r="I68" i="4"/>
  <c r="H73" i="3"/>
  <c r="I71" i="3"/>
  <c r="I69" i="3"/>
  <c r="I68" i="3"/>
  <c r="I70" i="3"/>
  <c r="I72" i="3"/>
  <c r="J72" i="3" s="1"/>
  <c r="J137" i="3" s="1"/>
  <c r="L8" i="3" s="1"/>
  <c r="I73" i="15" l="1"/>
  <c r="I73" i="14"/>
  <c r="I73" i="13"/>
  <c r="I73" i="12"/>
  <c r="I73" i="11"/>
  <c r="I73" i="10"/>
  <c r="I73" i="9"/>
  <c r="I73" i="8"/>
  <c r="I73" i="7"/>
  <c r="I73" i="6"/>
  <c r="I73" i="5"/>
  <c r="I73" i="4"/>
  <c r="I76" i="4" s="1"/>
  <c r="I77" i="4" s="1"/>
  <c r="I73" i="3"/>
  <c r="I107" i="15" l="1"/>
  <c r="I76" i="15"/>
  <c r="I77" i="15" s="1"/>
  <c r="I134" i="15"/>
  <c r="I134" i="14"/>
  <c r="I76" i="14"/>
  <c r="I77" i="14" s="1"/>
  <c r="I107" i="14"/>
  <c r="I134" i="13"/>
  <c r="I76" i="13"/>
  <c r="I77" i="13" s="1"/>
  <c r="I107" i="13"/>
  <c r="I107" i="12"/>
  <c r="I134" i="12"/>
  <c r="I76" i="12"/>
  <c r="I77" i="12" s="1"/>
  <c r="I107" i="11"/>
  <c r="I134" i="11"/>
  <c r="I76" i="11"/>
  <c r="I77" i="11" s="1"/>
  <c r="I107" i="10"/>
  <c r="I134" i="10"/>
  <c r="I76" i="10"/>
  <c r="I77" i="10" s="1"/>
  <c r="I134" i="9"/>
  <c r="I76" i="9"/>
  <c r="I77" i="9" s="1"/>
  <c r="I107" i="9"/>
  <c r="I134" i="8"/>
  <c r="I76" i="8"/>
  <c r="I77" i="8" s="1"/>
  <c r="I107" i="8"/>
  <c r="I107" i="7"/>
  <c r="I134" i="7"/>
  <c r="I76" i="7"/>
  <c r="I77" i="7" s="1"/>
  <c r="I107" i="6"/>
  <c r="I134" i="6"/>
  <c r="I76" i="6"/>
  <c r="I77" i="6" s="1"/>
  <c r="I107" i="5"/>
  <c r="I134" i="5"/>
  <c r="I76" i="5"/>
  <c r="I77" i="5" s="1"/>
  <c r="I107" i="4"/>
  <c r="I133" i="4"/>
  <c r="I82" i="4"/>
  <c r="I81" i="4"/>
  <c r="I80" i="4"/>
  <c r="I85" i="4"/>
  <c r="I84" i="4"/>
  <c r="I83" i="4"/>
  <c r="I107" i="3"/>
  <c r="I76" i="3"/>
  <c r="I77" i="3" s="1"/>
  <c r="I133" i="3"/>
  <c r="I84" i="15" l="1"/>
  <c r="I83" i="15"/>
  <c r="I82" i="15"/>
  <c r="I81" i="15"/>
  <c r="I80" i="15"/>
  <c r="I85" i="15"/>
  <c r="I85" i="14"/>
  <c r="I84" i="14"/>
  <c r="I83" i="14"/>
  <c r="I82" i="14"/>
  <c r="I81" i="14"/>
  <c r="I80" i="14"/>
  <c r="I80" i="13"/>
  <c r="I85" i="13"/>
  <c r="I84" i="13"/>
  <c r="I83" i="13"/>
  <c r="I82" i="13"/>
  <c r="I81" i="13"/>
  <c r="I81" i="12"/>
  <c r="I80" i="12"/>
  <c r="I85" i="12"/>
  <c r="I84" i="12"/>
  <c r="I82" i="12"/>
  <c r="I83" i="12"/>
  <c r="I82" i="11"/>
  <c r="I81" i="11"/>
  <c r="I80" i="11"/>
  <c r="I85" i="11"/>
  <c r="I83" i="11"/>
  <c r="I84" i="11"/>
  <c r="I83" i="10"/>
  <c r="I82" i="10"/>
  <c r="I81" i="10"/>
  <c r="I80" i="10"/>
  <c r="I84" i="10"/>
  <c r="I85" i="10"/>
  <c r="I85" i="9"/>
  <c r="I84" i="9"/>
  <c r="I83" i="9"/>
  <c r="I82" i="9"/>
  <c r="I81" i="9"/>
  <c r="I80" i="9"/>
  <c r="I85" i="8"/>
  <c r="I84" i="8"/>
  <c r="I83" i="8"/>
  <c r="I82" i="8"/>
  <c r="I81" i="8"/>
  <c r="I80" i="8"/>
  <c r="I80" i="7"/>
  <c r="I85" i="7"/>
  <c r="I84" i="7"/>
  <c r="I83" i="7"/>
  <c r="I81" i="7"/>
  <c r="I82" i="7"/>
  <c r="I82" i="6"/>
  <c r="I81" i="6"/>
  <c r="I80" i="6"/>
  <c r="I85" i="6"/>
  <c r="I84" i="6"/>
  <c r="I83" i="6"/>
  <c r="I83" i="5"/>
  <c r="I84" i="5"/>
  <c r="I82" i="5"/>
  <c r="I81" i="5"/>
  <c r="I80" i="5"/>
  <c r="I85" i="5"/>
  <c r="I86" i="4"/>
  <c r="I94" i="4" s="1"/>
  <c r="I96" i="4" s="1"/>
  <c r="I85" i="3"/>
  <c r="I84" i="3"/>
  <c r="I83" i="3"/>
  <c r="I82" i="3"/>
  <c r="I80" i="3"/>
  <c r="I81" i="3"/>
  <c r="I86" i="15" l="1"/>
  <c r="I94" i="15" s="1"/>
  <c r="I96" i="15" s="1"/>
  <c r="I86" i="14"/>
  <c r="I94" i="14" s="1"/>
  <c r="I96" i="14" s="1"/>
  <c r="I86" i="13"/>
  <c r="I94" i="13" s="1"/>
  <c r="I96" i="13" s="1"/>
  <c r="I86" i="12"/>
  <c r="I94" i="12" s="1"/>
  <c r="I96" i="12" s="1"/>
  <c r="I86" i="11"/>
  <c r="I94" i="11" s="1"/>
  <c r="I96" i="11" s="1"/>
  <c r="I86" i="10"/>
  <c r="I94" i="10" s="1"/>
  <c r="I96" i="10" s="1"/>
  <c r="I86" i="9"/>
  <c r="I94" i="9" s="1"/>
  <c r="I96" i="9" s="1"/>
  <c r="I135" i="9" s="1"/>
  <c r="I137" i="9" s="1"/>
  <c r="I86" i="8"/>
  <c r="I94" i="8" s="1"/>
  <c r="I96" i="8" s="1"/>
  <c r="I86" i="7"/>
  <c r="I94" i="7" s="1"/>
  <c r="I96" i="7" s="1"/>
  <c r="I86" i="6"/>
  <c r="I94" i="6" s="1"/>
  <c r="I96" i="6" s="1"/>
  <c r="I86" i="5"/>
  <c r="I94" i="5" s="1"/>
  <c r="I96" i="5" s="1"/>
  <c r="I108" i="4"/>
  <c r="I110" i="4" s="1"/>
  <c r="I134" i="4"/>
  <c r="I136" i="4" s="1"/>
  <c r="I86" i="3"/>
  <c r="I94" i="3" s="1"/>
  <c r="I96" i="3" s="1"/>
  <c r="I108" i="15" l="1"/>
  <c r="I110" i="15" s="1"/>
  <c r="I135" i="15"/>
  <c r="I137" i="15" s="1"/>
  <c r="I135" i="14"/>
  <c r="I137" i="14" s="1"/>
  <c r="I108" i="14"/>
  <c r="I110" i="14" s="1"/>
  <c r="I135" i="13"/>
  <c r="I137" i="13" s="1"/>
  <c r="I108" i="13"/>
  <c r="I110" i="13" s="1"/>
  <c r="I108" i="12"/>
  <c r="I110" i="12" s="1"/>
  <c r="I135" i="12"/>
  <c r="I137" i="12" s="1"/>
  <c r="I108" i="11"/>
  <c r="I110" i="11" s="1"/>
  <c r="I135" i="11"/>
  <c r="I137" i="11" s="1"/>
  <c r="I108" i="10"/>
  <c r="I110" i="10" s="1"/>
  <c r="I135" i="10"/>
  <c r="I137" i="10" s="1"/>
  <c r="I108" i="9"/>
  <c r="I110" i="9" s="1"/>
  <c r="I113" i="9" s="1"/>
  <c r="I135" i="8"/>
  <c r="I137" i="8" s="1"/>
  <c r="I108" i="8"/>
  <c r="I110" i="8" s="1"/>
  <c r="I135" i="7"/>
  <c r="I137" i="7" s="1"/>
  <c r="I108" i="7"/>
  <c r="I110" i="7" s="1"/>
  <c r="I108" i="6"/>
  <c r="I110" i="6" s="1"/>
  <c r="I135" i="6"/>
  <c r="I137" i="6" s="1"/>
  <c r="I108" i="5"/>
  <c r="I110" i="5" s="1"/>
  <c r="I135" i="5"/>
  <c r="I137" i="5" s="1"/>
  <c r="I113" i="4"/>
  <c r="I114" i="4" s="1"/>
  <c r="I124" i="4" s="1"/>
  <c r="I126" i="4" s="1"/>
  <c r="I134" i="3"/>
  <c r="I136" i="3" s="1"/>
  <c r="I108" i="3"/>
  <c r="I110" i="3" s="1"/>
  <c r="I113" i="15" l="1"/>
  <c r="I114" i="15" s="1"/>
  <c r="I113" i="14"/>
  <c r="I113" i="13"/>
  <c r="I113" i="12"/>
  <c r="I113" i="11"/>
  <c r="I113" i="10"/>
  <c r="L56" i="9"/>
  <c r="I114" i="9"/>
  <c r="I124" i="9" s="1"/>
  <c r="I126" i="9" s="1"/>
  <c r="I113" i="8"/>
  <c r="I113" i="7"/>
  <c r="I113" i="6"/>
  <c r="I113" i="5"/>
  <c r="I118" i="4"/>
  <c r="I116" i="4"/>
  <c r="I117" i="4"/>
  <c r="I128" i="4"/>
  <c r="L56" i="4"/>
  <c r="I113" i="3"/>
  <c r="I124" i="15" l="1"/>
  <c r="I126" i="15" s="1"/>
  <c r="L56" i="15"/>
  <c r="I114" i="14"/>
  <c r="L56" i="14"/>
  <c r="L56" i="13"/>
  <c r="I114" i="13"/>
  <c r="I124" i="13" s="1"/>
  <c r="I126" i="13" s="1"/>
  <c r="L56" i="12"/>
  <c r="I114" i="12"/>
  <c r="I124" i="12" s="1"/>
  <c r="I126" i="12" s="1"/>
  <c r="L56" i="11"/>
  <c r="I114" i="11"/>
  <c r="L56" i="10"/>
  <c r="I114" i="10"/>
  <c r="I118" i="9"/>
  <c r="I117" i="9"/>
  <c r="I116" i="9"/>
  <c r="I128" i="9"/>
  <c r="L56" i="8"/>
  <c r="I114" i="8"/>
  <c r="I124" i="8" s="1"/>
  <c r="I126" i="8" s="1"/>
  <c r="L56" i="7"/>
  <c r="I114" i="7"/>
  <c r="L56" i="6"/>
  <c r="I114" i="6"/>
  <c r="L56" i="5"/>
  <c r="I114" i="5"/>
  <c r="I119" i="4"/>
  <c r="I137" i="4" s="1"/>
  <c r="I138" i="4" s="1"/>
  <c r="L53" i="4" s="1"/>
  <c r="L56" i="3"/>
  <c r="I114" i="3"/>
  <c r="I124" i="3" s="1"/>
  <c r="I126" i="3" s="1"/>
  <c r="I117" i="15" l="1"/>
  <c r="I116" i="15"/>
  <c r="I128" i="15"/>
  <c r="I118" i="15"/>
  <c r="I124" i="14"/>
  <c r="I126" i="14" s="1"/>
  <c r="I118" i="13"/>
  <c r="I117" i="13"/>
  <c r="I116" i="13"/>
  <c r="I128" i="13"/>
  <c r="I118" i="12"/>
  <c r="I117" i="12"/>
  <c r="I116" i="12"/>
  <c r="I128" i="12"/>
  <c r="I124" i="11"/>
  <c r="I126" i="11" s="1"/>
  <c r="I124" i="10"/>
  <c r="I126" i="10" s="1"/>
  <c r="I119" i="9"/>
  <c r="I138" i="9" s="1"/>
  <c r="I139" i="9" s="1"/>
  <c r="E34" i="2" s="1"/>
  <c r="F34" i="2" s="1"/>
  <c r="E89" i="2" s="1"/>
  <c r="G89" i="2" s="1"/>
  <c r="I118" i="8"/>
  <c r="I117" i="8"/>
  <c r="I116" i="8"/>
  <c r="I128" i="8"/>
  <c r="I124" i="7"/>
  <c r="I126" i="7" s="1"/>
  <c r="I124" i="6"/>
  <c r="I126" i="6" s="1"/>
  <c r="I124" i="5"/>
  <c r="I126" i="5" s="1"/>
  <c r="L17" i="4"/>
  <c r="L32" i="4" s="1"/>
  <c r="L33" i="4" s="1"/>
  <c r="G140" i="4"/>
  <c r="I140" i="4" s="1"/>
  <c r="E4" i="1" s="1"/>
  <c r="F4" i="1" s="1"/>
  <c r="G4" i="1" s="1"/>
  <c r="I118" i="3"/>
  <c r="I117" i="3"/>
  <c r="I116" i="3"/>
  <c r="I128" i="3"/>
  <c r="I119" i="15" l="1"/>
  <c r="I138" i="15" s="1"/>
  <c r="I139" i="15" s="1"/>
  <c r="I118" i="14"/>
  <c r="I117" i="14"/>
  <c r="I116" i="14"/>
  <c r="I128" i="14"/>
  <c r="I119" i="13"/>
  <c r="I138" i="13" s="1"/>
  <c r="I139" i="13" s="1"/>
  <c r="L17" i="13" s="1"/>
  <c r="I119" i="12"/>
  <c r="I138" i="12" s="1"/>
  <c r="I139" i="12" s="1"/>
  <c r="L53" i="12" s="1"/>
  <c r="I128" i="11"/>
  <c r="I118" i="11"/>
  <c r="I117" i="11"/>
  <c r="I116" i="11"/>
  <c r="I128" i="10"/>
  <c r="I117" i="10"/>
  <c r="I118" i="10"/>
  <c r="I116" i="10"/>
  <c r="L17" i="9"/>
  <c r="L26" i="9" s="1"/>
  <c r="L27" i="9" s="1"/>
  <c r="L53" i="9"/>
  <c r="L29" i="9"/>
  <c r="L30" i="9" s="1"/>
  <c r="L23" i="9"/>
  <c r="L24" i="9" s="1"/>
  <c r="I119" i="8"/>
  <c r="I138" i="8" s="1"/>
  <c r="I139" i="8" s="1"/>
  <c r="L17" i="8" s="1"/>
  <c r="I118" i="7"/>
  <c r="I117" i="7"/>
  <c r="I116" i="7"/>
  <c r="I128" i="7"/>
  <c r="I128" i="6"/>
  <c r="I118" i="6"/>
  <c r="I117" i="6"/>
  <c r="I116" i="6"/>
  <c r="I116" i="5"/>
  <c r="I128" i="5"/>
  <c r="I118" i="5"/>
  <c r="I117" i="5"/>
  <c r="L26" i="4"/>
  <c r="L27" i="4" s="1"/>
  <c r="L18" i="4"/>
  <c r="L19" i="4" s="1"/>
  <c r="L29" i="4"/>
  <c r="L30" i="4" s="1"/>
  <c r="L23" i="4"/>
  <c r="L24" i="4" s="1"/>
  <c r="L35" i="4"/>
  <c r="L36" i="4" s="1"/>
  <c r="I119" i="3"/>
  <c r="I137" i="3" s="1"/>
  <c r="I138" i="3" s="1"/>
  <c r="E68" i="2" s="1"/>
  <c r="F68" i="2" s="1"/>
  <c r="E106" i="2" s="1"/>
  <c r="G106" i="2" s="1"/>
  <c r="L53" i="15" l="1"/>
  <c r="E70" i="2"/>
  <c r="F70" i="2" s="1"/>
  <c r="E107" i="2" s="1"/>
  <c r="G107" i="2" s="1"/>
  <c r="L17" i="15"/>
  <c r="I119" i="14"/>
  <c r="I138" i="14" s="1"/>
  <c r="I139" i="14" s="1"/>
  <c r="L17" i="14" s="1"/>
  <c r="L53" i="13"/>
  <c r="E58" i="2"/>
  <c r="F58" i="2" s="1"/>
  <c r="E101" i="2" s="1"/>
  <c r="G101" i="2" s="1"/>
  <c r="L32" i="13"/>
  <c r="L33" i="13" s="1"/>
  <c r="L18" i="13"/>
  <c r="L19" i="13" s="1"/>
  <c r="L35" i="13"/>
  <c r="L36" i="13" s="1"/>
  <c r="L29" i="13"/>
  <c r="L30" i="13" s="1"/>
  <c r="L26" i="13"/>
  <c r="L27" i="13" s="1"/>
  <c r="L23" i="13"/>
  <c r="L24" i="13" s="1"/>
  <c r="E52" i="2"/>
  <c r="F52" i="2" s="1"/>
  <c r="E98" i="2" s="1"/>
  <c r="G98" i="2" s="1"/>
  <c r="L17" i="12"/>
  <c r="L23" i="12" s="1"/>
  <c r="L24" i="12" s="1"/>
  <c r="I119" i="11"/>
  <c r="I138" i="11" s="1"/>
  <c r="I139" i="11" s="1"/>
  <c r="L53" i="11" s="1"/>
  <c r="I119" i="10"/>
  <c r="I138" i="10" s="1"/>
  <c r="I139" i="10" s="1"/>
  <c r="L35" i="9"/>
  <c r="L36" i="9" s="1"/>
  <c r="L18" i="9"/>
  <c r="L19" i="9" s="1"/>
  <c r="L32" i="9"/>
  <c r="L33" i="9" s="1"/>
  <c r="L53" i="8"/>
  <c r="E28" i="2"/>
  <c r="F28" i="2" s="1"/>
  <c r="E86" i="2" s="1"/>
  <c r="G86" i="2" s="1"/>
  <c r="L23" i="8"/>
  <c r="L24" i="8" s="1"/>
  <c r="L35" i="8"/>
  <c r="L36" i="8" s="1"/>
  <c r="L18" i="8"/>
  <c r="L19" i="8" s="1"/>
  <c r="L29" i="8"/>
  <c r="L30" i="8" s="1"/>
  <c r="L26" i="8"/>
  <c r="L27" i="8" s="1"/>
  <c r="L32" i="8"/>
  <c r="L33" i="8" s="1"/>
  <c r="I119" i="7"/>
  <c r="I138" i="7" s="1"/>
  <c r="I139" i="7" s="1"/>
  <c r="L17" i="7" s="1"/>
  <c r="I119" i="6"/>
  <c r="I138" i="6" s="1"/>
  <c r="I139" i="6" s="1"/>
  <c r="L53" i="6" s="1"/>
  <c r="I119" i="5"/>
  <c r="I138" i="5" s="1"/>
  <c r="I139" i="5" s="1"/>
  <c r="L37" i="4"/>
  <c r="L41" i="4" s="1"/>
  <c r="L54" i="4" s="1"/>
  <c r="L55" i="4" s="1"/>
  <c r="L57" i="4" s="1"/>
  <c r="E56" i="2"/>
  <c r="F56" i="2" s="1"/>
  <c r="E100" i="2" s="1"/>
  <c r="G100" i="2" s="1"/>
  <c r="E14" i="2"/>
  <c r="F14" i="2" s="1"/>
  <c r="E79" i="2" s="1"/>
  <c r="G79" i="2" s="1"/>
  <c r="E44" i="2"/>
  <c r="F44" i="2" s="1"/>
  <c r="E94" i="2" s="1"/>
  <c r="G94" i="2" s="1"/>
  <c r="L53" i="3"/>
  <c r="E62" i="2"/>
  <c r="F62" i="2" s="1"/>
  <c r="E103" i="2" s="1"/>
  <c r="G103" i="2" s="1"/>
  <c r="E26" i="2"/>
  <c r="F26" i="2" s="1"/>
  <c r="E85" i="2" s="1"/>
  <c r="G85" i="2" s="1"/>
  <c r="E32" i="2"/>
  <c r="F32" i="2" s="1"/>
  <c r="E88" i="2" s="1"/>
  <c r="G88" i="2" s="1"/>
  <c r="E20" i="2"/>
  <c r="F20" i="2" s="1"/>
  <c r="E82" i="2" s="1"/>
  <c r="G82" i="2" s="1"/>
  <c r="L17" i="3"/>
  <c r="L18" i="3" s="1"/>
  <c r="L19" i="3" s="1"/>
  <c r="E8" i="2"/>
  <c r="F8" i="2" s="1"/>
  <c r="E76" i="2" s="1"/>
  <c r="G76" i="2" s="1"/>
  <c r="E38" i="2"/>
  <c r="F38" i="2" s="1"/>
  <c r="E91" i="2" s="1"/>
  <c r="G91" i="2" s="1"/>
  <c r="E50" i="2"/>
  <c r="F50" i="2" s="1"/>
  <c r="E97" i="2" s="1"/>
  <c r="G97" i="2" s="1"/>
  <c r="L26" i="15" l="1"/>
  <c r="L27" i="15" s="1"/>
  <c r="L23" i="15"/>
  <c r="L24" i="15" s="1"/>
  <c r="L32" i="15"/>
  <c r="L33" i="15" s="1"/>
  <c r="L29" i="15"/>
  <c r="L30" i="15" s="1"/>
  <c r="L18" i="15"/>
  <c r="L19" i="15" s="1"/>
  <c r="L35" i="15"/>
  <c r="L36" i="15" s="1"/>
  <c r="L53" i="14"/>
  <c r="E64" i="2"/>
  <c r="F64" i="2" s="1"/>
  <c r="E104" i="2" s="1"/>
  <c r="G104" i="2" s="1"/>
  <c r="L35" i="14"/>
  <c r="L36" i="14" s="1"/>
  <c r="L29" i="14"/>
  <c r="L30" i="14" s="1"/>
  <c r="L18" i="14"/>
  <c r="L19" i="14" s="1"/>
  <c r="L26" i="14"/>
  <c r="L27" i="14" s="1"/>
  <c r="L23" i="14"/>
  <c r="L24" i="14" s="1"/>
  <c r="L32" i="14"/>
  <c r="L33" i="14" s="1"/>
  <c r="L37" i="13"/>
  <c r="L41" i="13" s="1"/>
  <c r="L54" i="13" s="1"/>
  <c r="L55" i="13" s="1"/>
  <c r="L57" i="13" s="1"/>
  <c r="L32" i="12"/>
  <c r="L33" i="12" s="1"/>
  <c r="L26" i="12"/>
  <c r="L27" i="12" s="1"/>
  <c r="L29" i="12"/>
  <c r="L30" i="12" s="1"/>
  <c r="L35" i="12"/>
  <c r="L36" i="12" s="1"/>
  <c r="L18" i="12"/>
  <c r="L19" i="12" s="1"/>
  <c r="L17" i="11"/>
  <c r="L26" i="11" s="1"/>
  <c r="L27" i="11" s="1"/>
  <c r="E46" i="2"/>
  <c r="F46" i="2" s="1"/>
  <c r="E95" i="2" s="1"/>
  <c r="G95" i="2" s="1"/>
  <c r="E40" i="2"/>
  <c r="F40" i="2" s="1"/>
  <c r="E92" i="2" s="1"/>
  <c r="G92" i="2" s="1"/>
  <c r="L53" i="10"/>
  <c r="L17" i="10"/>
  <c r="L37" i="9"/>
  <c r="L41" i="9" s="1"/>
  <c r="L50" i="9" s="1"/>
  <c r="L37" i="8"/>
  <c r="L41" i="8" s="1"/>
  <c r="L50" i="8" s="1"/>
  <c r="E22" i="2"/>
  <c r="F22" i="2" s="1"/>
  <c r="E83" i="2" s="1"/>
  <c r="G83" i="2" s="1"/>
  <c r="L53" i="7"/>
  <c r="L23" i="7"/>
  <c r="L24" i="7" s="1"/>
  <c r="L32" i="7"/>
  <c r="L33" i="7" s="1"/>
  <c r="L18" i="7"/>
  <c r="L19" i="7" s="1"/>
  <c r="L35" i="7"/>
  <c r="L36" i="7" s="1"/>
  <c r="L29" i="7"/>
  <c r="L30" i="7" s="1"/>
  <c r="L26" i="7"/>
  <c r="L27" i="7" s="1"/>
  <c r="L17" i="6"/>
  <c r="L26" i="6" s="1"/>
  <c r="L27" i="6" s="1"/>
  <c r="E16" i="2"/>
  <c r="F16" i="2" s="1"/>
  <c r="E80" i="2" s="1"/>
  <c r="G80" i="2" s="1"/>
  <c r="E10" i="2"/>
  <c r="F10" i="2" s="1"/>
  <c r="E77" i="2" s="1"/>
  <c r="G77" i="2" s="1"/>
  <c r="L53" i="5"/>
  <c r="L17" i="5"/>
  <c r="L50" i="4"/>
  <c r="L59" i="4"/>
  <c r="L58" i="4"/>
  <c r="L23" i="3"/>
  <c r="L24" i="3" s="1"/>
  <c r="L32" i="3"/>
  <c r="L33" i="3" s="1"/>
  <c r="L26" i="3"/>
  <c r="L27" i="3" s="1"/>
  <c r="L29" i="3"/>
  <c r="L30" i="3" s="1"/>
  <c r="L35" i="3"/>
  <c r="L36" i="3" s="1"/>
  <c r="L37" i="15" l="1"/>
  <c r="L41" i="15" s="1"/>
  <c r="L37" i="14"/>
  <c r="L41" i="14" s="1"/>
  <c r="L50" i="14" s="1"/>
  <c r="L50" i="13"/>
  <c r="L59" i="13"/>
  <c r="L58" i="13"/>
  <c r="L37" i="12"/>
  <c r="L41" i="12" s="1"/>
  <c r="L50" i="12" s="1"/>
  <c r="L29" i="11"/>
  <c r="L30" i="11" s="1"/>
  <c r="L18" i="11"/>
  <c r="L19" i="11" s="1"/>
  <c r="L37" i="11" s="1"/>
  <c r="L41" i="11" s="1"/>
  <c r="L32" i="11"/>
  <c r="L33" i="11" s="1"/>
  <c r="L35" i="11"/>
  <c r="L36" i="11" s="1"/>
  <c r="L23" i="11"/>
  <c r="L24" i="11" s="1"/>
  <c r="L26" i="10"/>
  <c r="L27" i="10" s="1"/>
  <c r="L23" i="10"/>
  <c r="L24" i="10" s="1"/>
  <c r="L32" i="10"/>
  <c r="L33" i="10" s="1"/>
  <c r="L35" i="10"/>
  <c r="L36" i="10" s="1"/>
  <c r="L18" i="10"/>
  <c r="L19" i="10" s="1"/>
  <c r="L29" i="10"/>
  <c r="L30" i="10" s="1"/>
  <c r="L54" i="9"/>
  <c r="L55" i="9" s="1"/>
  <c r="L57" i="9" s="1"/>
  <c r="L59" i="9" s="1"/>
  <c r="L54" i="8"/>
  <c r="L55" i="8" s="1"/>
  <c r="L57" i="8" s="1"/>
  <c r="L58" i="8" s="1"/>
  <c r="L37" i="7"/>
  <c r="L41" i="7" s="1"/>
  <c r="L32" i="6"/>
  <c r="L33" i="6" s="1"/>
  <c r="L23" i="6"/>
  <c r="L24" i="6" s="1"/>
  <c r="G109" i="2"/>
  <c r="G110" i="2" s="1"/>
  <c r="F3" i="1" s="1"/>
  <c r="G3" i="1" s="1"/>
  <c r="E7" i="1" s="1"/>
  <c r="L29" i="6"/>
  <c r="L30" i="6" s="1"/>
  <c r="L35" i="6"/>
  <c r="L36" i="6" s="1"/>
  <c r="L18" i="6"/>
  <c r="L19" i="6" s="1"/>
  <c r="L26" i="5"/>
  <c r="L27" i="5" s="1"/>
  <c r="L23" i="5"/>
  <c r="L24" i="5" s="1"/>
  <c r="L32" i="5"/>
  <c r="L33" i="5" s="1"/>
  <c r="L18" i="5"/>
  <c r="L19" i="5" s="1"/>
  <c r="L35" i="5"/>
  <c r="L36" i="5" s="1"/>
  <c r="L29" i="5"/>
  <c r="L30" i="5" s="1"/>
  <c r="L37" i="3"/>
  <c r="L41" i="3" s="1"/>
  <c r="L50" i="3" s="1"/>
  <c r="L50" i="15" l="1"/>
  <c r="L54" i="15"/>
  <c r="L55" i="15" s="1"/>
  <c r="L57" i="15" s="1"/>
  <c r="L54" i="14"/>
  <c r="L55" i="14" s="1"/>
  <c r="L57" i="14" s="1"/>
  <c r="L59" i="14" s="1"/>
  <c r="L54" i="12"/>
  <c r="L55" i="12" s="1"/>
  <c r="L57" i="12" s="1"/>
  <c r="L59" i="12" s="1"/>
  <c r="L54" i="11"/>
  <c r="L55" i="11" s="1"/>
  <c r="L57" i="11" s="1"/>
  <c r="L50" i="11"/>
  <c r="L37" i="10"/>
  <c r="L41" i="10" s="1"/>
  <c r="L58" i="9"/>
  <c r="L59" i="8"/>
  <c r="L50" i="7"/>
  <c r="L54" i="7"/>
  <c r="L55" i="7" s="1"/>
  <c r="L57" i="7" s="1"/>
  <c r="L37" i="6"/>
  <c r="L41" i="6" s="1"/>
  <c r="L50" i="6" s="1"/>
  <c r="E6" i="1"/>
  <c r="E3" i="1"/>
  <c r="E5" i="1" s="1"/>
  <c r="L37" i="5"/>
  <c r="L41" i="5" s="1"/>
  <c r="L54" i="5" s="1"/>
  <c r="L55" i="5" s="1"/>
  <c r="L57" i="5" s="1"/>
  <c r="L54" i="3"/>
  <c r="L55" i="3" s="1"/>
  <c r="L57" i="3" s="1"/>
  <c r="L58" i="3" s="1"/>
  <c r="L59" i="15" l="1"/>
  <c r="L58" i="15"/>
  <c r="L58" i="14"/>
  <c r="L58" i="12"/>
  <c r="L59" i="11"/>
  <c r="L58" i="11"/>
  <c r="L54" i="10"/>
  <c r="L55" i="10" s="1"/>
  <c r="L57" i="10" s="1"/>
  <c r="L50" i="10"/>
  <c r="L59" i="7"/>
  <c r="L58" i="7"/>
  <c r="L54" i="6"/>
  <c r="L55" i="6" s="1"/>
  <c r="L57" i="6" s="1"/>
  <c r="L59" i="6"/>
  <c r="L58" i="6"/>
  <c r="L50" i="5"/>
  <c r="L59" i="5"/>
  <c r="L58" i="5"/>
  <c r="L59" i="3"/>
  <c r="L59" i="10" l="1"/>
  <c r="L5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</authors>
  <commentList>
    <comment ref="J40" authorId="0" shapeId="0" xr:uid="{00000000-0006-0000-0200-000001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 shapeId="0" xr:uid="{00000000-0006-0000-0200-000002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 shapeId="0" xr:uid="{00000000-0006-0000-0200-000003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 shapeId="0" xr:uid="{00000000-0006-0000-0200-000004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 shapeId="0" xr:uid="{00000000-0006-0000-0200-000005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 shapeId="0" xr:uid="{00000000-0006-0000-0200-000006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4" authorId="0" shapeId="0" xr:uid="{00000000-0006-0000-0200-000007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</authors>
  <commentList>
    <comment ref="J40" authorId="0" shapeId="0" xr:uid="{00000000-0006-0000-0300-000001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 shapeId="0" xr:uid="{00000000-0006-0000-0300-000002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 shapeId="0" xr:uid="{00000000-0006-0000-0300-000003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 shapeId="0" xr:uid="{00000000-0006-0000-0300-000004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 shapeId="0" xr:uid="{00000000-0006-0000-0300-000005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 shapeId="0" xr:uid="{00000000-0006-0000-0300-000006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4" authorId="0" shapeId="0" xr:uid="{00000000-0006-0000-0300-000007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</authors>
  <commentList>
    <comment ref="J40" authorId="0" shapeId="0" xr:uid="{00000000-0006-0000-0400-000001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 shapeId="0" xr:uid="{00000000-0006-0000-0400-000002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 shapeId="0" xr:uid="{00000000-0006-0000-0400-000003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 shapeId="0" xr:uid="{00000000-0006-0000-0400-000004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 shapeId="0" xr:uid="{00000000-0006-0000-0400-000005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 shapeId="0" xr:uid="{00000000-0006-0000-0400-000006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 shapeId="0" xr:uid="{00000000-0006-0000-0400-000007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</authors>
  <commentList>
    <comment ref="J40" authorId="0" shapeId="0" xr:uid="{00000000-0006-0000-0500-000001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 shapeId="0" xr:uid="{00000000-0006-0000-0500-000002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 shapeId="0" xr:uid="{00000000-0006-0000-0500-000003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 shapeId="0" xr:uid="{00000000-0006-0000-0500-000004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 shapeId="0" xr:uid="{00000000-0006-0000-0500-000005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 shapeId="0" xr:uid="{00000000-0006-0000-0500-000006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 shapeId="0" xr:uid="{00000000-0006-0000-0500-000007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</authors>
  <commentList>
    <comment ref="J40" authorId="0" shapeId="0" xr:uid="{00000000-0006-0000-0600-000001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 shapeId="0" xr:uid="{00000000-0006-0000-0600-000002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 shapeId="0" xr:uid="{00000000-0006-0000-0600-000003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 shapeId="0" xr:uid="{00000000-0006-0000-0600-000004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 shapeId="0" xr:uid="{00000000-0006-0000-0600-000005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 shapeId="0" xr:uid="{00000000-0006-0000-0600-000006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 shapeId="0" xr:uid="{00000000-0006-0000-0600-000007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</authors>
  <commentList>
    <comment ref="J40" authorId="0" shapeId="0" xr:uid="{00000000-0006-0000-0700-000001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 shapeId="0" xr:uid="{00000000-0006-0000-0700-000002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 shapeId="0" xr:uid="{00000000-0006-0000-0700-000003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 shapeId="0" xr:uid="{00000000-0006-0000-0700-000004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 shapeId="0" xr:uid="{00000000-0006-0000-0700-000005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 shapeId="0" xr:uid="{00000000-0006-0000-0700-000006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 shapeId="0" xr:uid="{00000000-0006-0000-0700-000007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</authors>
  <commentList>
    <comment ref="J40" authorId="0" shapeId="0" xr:uid="{00000000-0006-0000-0800-000001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 shapeId="0" xr:uid="{00000000-0006-0000-0800-000002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 shapeId="0" xr:uid="{00000000-0006-0000-0800-000003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 shapeId="0" xr:uid="{00000000-0006-0000-0800-000004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 shapeId="0" xr:uid="{00000000-0006-0000-0800-000005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 shapeId="0" xr:uid="{00000000-0006-0000-0800-000006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 shapeId="0" xr:uid="{00000000-0006-0000-0800-000007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</authors>
  <commentList>
    <comment ref="J40" authorId="0" shapeId="0" xr:uid="{00000000-0006-0000-0900-000001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 shapeId="0" xr:uid="{00000000-0006-0000-0900-000002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 shapeId="0" xr:uid="{00000000-0006-0000-0900-000003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 shapeId="0" xr:uid="{00000000-0006-0000-0900-000004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 shapeId="0" xr:uid="{00000000-0006-0000-0900-000005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 shapeId="0" xr:uid="{00000000-0006-0000-0900-000006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 shapeId="0" xr:uid="{00000000-0006-0000-0900-000007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</authors>
  <commentList>
    <comment ref="J40" authorId="0" shapeId="0" xr:uid="{00000000-0006-0000-0A00-000001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 shapeId="0" xr:uid="{00000000-0006-0000-0A00-000002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 shapeId="0" xr:uid="{00000000-0006-0000-0A00-000003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 shapeId="0" xr:uid="{00000000-0006-0000-0A00-000004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 shapeId="0" xr:uid="{00000000-0006-0000-0A00-000005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 shapeId="0" xr:uid="{00000000-0006-0000-0A00-000006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 shapeId="0" xr:uid="{00000000-0006-0000-0A00-000007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</authors>
  <commentList>
    <comment ref="J40" authorId="0" shapeId="0" xr:uid="{00000000-0006-0000-0B00-000001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 shapeId="0" xr:uid="{00000000-0006-0000-0B00-000002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 shapeId="0" xr:uid="{00000000-0006-0000-0B00-000003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 shapeId="0" xr:uid="{00000000-0006-0000-0B00-000004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 shapeId="0" xr:uid="{00000000-0006-0000-0B00-000005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 shapeId="0" xr:uid="{00000000-0006-0000-0B00-000006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 shapeId="0" xr:uid="{00000000-0006-0000-0B00-000007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</authors>
  <commentList>
    <comment ref="J40" authorId="0" shapeId="0" xr:uid="{00000000-0006-0000-0C00-000001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 shapeId="0" xr:uid="{00000000-0006-0000-0C00-000002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 shapeId="0" xr:uid="{00000000-0006-0000-0C00-000003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 shapeId="0" xr:uid="{00000000-0006-0000-0C00-000004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 shapeId="0" xr:uid="{00000000-0006-0000-0C00-000005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 shapeId="0" xr:uid="{00000000-0006-0000-0C00-000006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 shapeId="0" xr:uid="{00000000-0006-0000-0C00-000007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</authors>
  <commentList>
    <comment ref="J40" authorId="0" shapeId="0" xr:uid="{00000000-0006-0000-0D00-000001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 shapeId="0" xr:uid="{00000000-0006-0000-0D00-000002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 shapeId="0" xr:uid="{00000000-0006-0000-0D00-000003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 shapeId="0" xr:uid="{00000000-0006-0000-0D00-000004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 shapeId="0" xr:uid="{00000000-0006-0000-0D00-000005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 shapeId="0" xr:uid="{00000000-0006-0000-0D00-000006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 shapeId="0" xr:uid="{00000000-0006-0000-0D00-000007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Profº Walter S. Gouvêa</author>
  </authors>
  <commentList>
    <comment ref="J40" authorId="0" shapeId="0" xr:uid="{00000000-0006-0000-0E00-000001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1" authorId="0" shapeId="0" xr:uid="{00000000-0006-0000-0E00-000002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2" authorId="0" shapeId="0" xr:uid="{00000000-0006-0000-0E00-000003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3" authorId="0" shapeId="0" xr:uid="{00000000-0006-0000-0E00-000004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  <comment ref="J47" authorId="0" shapeId="0" xr:uid="{00000000-0006-0000-0E00-000005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49" authorId="0" shapeId="0" xr:uid="{00000000-0006-0000-0E00-000006000000}">
      <text>
        <r>
          <rPr>
            <sz val="10"/>
            <rFont val="Arial"/>
            <charset val="134"/>
          </rPr>
          <t xml:space="preserve">Profº Walter S. Gouvêa:
</t>
        </r>
        <r>
          <rPr>
            <sz val="9"/>
            <rFont val="Segoe UI"/>
            <charset val="134"/>
          </rPr>
          <t>(COMPENSADO S/ OS 11% DA RETENÇÃO SOBRE O VALOR BRUTO DA FATURA)</t>
        </r>
      </text>
    </comment>
    <comment ref="J135" authorId="0" shapeId="0" xr:uid="{00000000-0006-0000-0E00-000007000000}">
      <text>
        <r>
          <rPr>
            <sz val="10"/>
            <rFont val="Arial"/>
            <charset val="134"/>
          </rPr>
          <t xml:space="preserve">Profº Walter S. Gouvêa
</t>
        </r>
        <r>
          <rPr>
            <sz val="9"/>
            <rFont val="Segoe UI"/>
            <charset val="134"/>
          </rPr>
          <t xml:space="preserve">
VALE TRANSPORTE - CONTRIBUIÇÃO DO EMPREGADO:  6% CALCULADO SOBRE O PISO SALARIAL (NÃO SOBRE A REMUNERAÇÃO)
</t>
        </r>
      </text>
    </comment>
  </commentList>
</comments>
</file>

<file path=xl/sharedStrings.xml><?xml version="1.0" encoding="utf-8"?>
<sst xmlns="http://schemas.openxmlformats.org/spreadsheetml/2006/main" count="4378" uniqueCount="698">
  <si>
    <t>GRUPO 01 - Campus Amílcar Ferreira Sobral, Colégio Técnico de Floriano e Fazendinha Experimental</t>
  </si>
  <si>
    <t>ITEM</t>
  </si>
  <si>
    <t>DESCRIÇÃO</t>
  </si>
  <si>
    <t xml:space="preserve">UNIDADE </t>
  </si>
  <si>
    <t>QUANTIDADE</t>
  </si>
  <si>
    <t xml:space="preserve">VALOR MENSAL </t>
  </si>
  <si>
    <t>VALOR TOTAL 
ANUAL</t>
  </si>
  <si>
    <t>VALOR TOTAL 
BIANUAL</t>
  </si>
  <si>
    <t>Prestação de serviço de limpeza, asseio e conservação das áreas internas e externas do Campus Amílcar Ferreira Sobral e Colégio Técnico de Floriano</t>
  </si>
  <si>
    <t>Serviço Mensal</t>
  </si>
  <si>
    <t>Operador de Roçadeira</t>
  </si>
  <si>
    <t>VALOR MÁXIMO ESTIMADO MENSAL</t>
  </si>
  <si>
    <t>VALOR MÁXIMO ESTIMADO ANUAL</t>
  </si>
  <si>
    <t>VALOR MÁXIMO ESTIMADO BIANUAL</t>
  </si>
  <si>
    <t xml:space="preserve"> OBSERVAÇÃO: * Segundo o MTE a caracterização e classificação da insalubridade e da periculosidade, devem ser feitas através de perícia do Médico ou Engenheiro do Trabalho. (Art. 195 CLT).</t>
  </si>
  <si>
    <t>ANEXO I - Complemento dos Serviços de Limpeza e Conservação</t>
  </si>
  <si>
    <t>PREÇO MENSAL UNITÁRIO POR M²</t>
  </si>
  <si>
    <t>ÁREA INTERNA - PISOS ACARPETADOS</t>
  </si>
  <si>
    <t>MÃO DE OBRA</t>
  </si>
  <si>
    <t>(1)
PRODUTIVIDADE
(1/m²)</t>
  </si>
  <si>
    <t>(2)
PREÇO HOMEM-MÊS
(R$)</t>
  </si>
  <si>
    <t>(1 X 2)
SUB-TOTAL
(R$/m²)</t>
  </si>
  <si>
    <t>Encarregado</t>
  </si>
  <si>
    <t>(30** x 1200*)</t>
  </si>
  <si>
    <t>Servente</t>
  </si>
  <si>
    <t>ÁREA INTERNA - LABORATÓRIOS (INSALUBRIDADE 20%)</t>
  </si>
  <si>
    <t>(30** x 450*)</t>
  </si>
  <si>
    <t>Servente (Insalubridade 20%)</t>
  </si>
  <si>
    <t>ÁREA INTERNA - ALMOXARIFADOS E GALPÕES</t>
  </si>
  <si>
    <t>(30** x 1500*)</t>
  </si>
  <si>
    <t>ÁREA INTERNA - ALMOXARIFADOS E GALPÕES (Insalubridade 20%)</t>
  </si>
  <si>
    <t>ÁREA INTERNA - EPAÇOS LIVRES, SAGUÃO, HALL E SALÃO</t>
  </si>
  <si>
    <t>ÁREA INTERNA - BANHEIROS (Insalubridade 40%)</t>
  </si>
  <si>
    <t>(30** x 200*)</t>
  </si>
  <si>
    <t>Servente (Insalubridade 40%)</t>
  </si>
  <si>
    <t xml:space="preserve"> </t>
  </si>
  <si>
    <t>ÁREA EXTERNA - PISOS PAVIMENTADOS ADJACENTES</t>
  </si>
  <si>
    <t>(30** x 1800*)</t>
  </si>
  <si>
    <t>ÁREA EXTERNA - VARRIÇÃO DE PASSEIOS E ARRUAMENTOS</t>
  </si>
  <si>
    <t>(30** x 6000*)</t>
  </si>
  <si>
    <t>ÁREA EXTERNA - PÁTIOS E ÁREAS VERDES COM ALTA FREQUÊNCIA</t>
  </si>
  <si>
    <t>ÁREA EXTERNA - PÁTIOS E ÁREAS VERDES COM MÉDIA/BAIXA FREQUÊNCIA</t>
  </si>
  <si>
    <t>(30** x 2700*)</t>
  </si>
  <si>
    <t>ÁREA EXTERNA - COLETA DE DETRITOS</t>
  </si>
  <si>
    <t>(30** x 100000*)</t>
  </si>
  <si>
    <t>VALOR MENSAL E ANUAL DO SERVIÇO (R$)</t>
  </si>
  <si>
    <t xml:space="preserve">TIPO DE ÁREA
</t>
  </si>
  <si>
    <t>PREÇO MENSAL UNITÁRIO
(R$/m²)</t>
  </si>
  <si>
    <t>ÁREA
(m²)</t>
  </si>
  <si>
    <t>SUB-TOTAL
(R$)</t>
  </si>
  <si>
    <t>ENCARREGADO</t>
  </si>
  <si>
    <t>SERVENTE</t>
  </si>
  <si>
    <t>ÁREA INTERNA - LABORATÓRIOS (INSALUBRIDADE GRAU MÉDIO/20%)</t>
  </si>
  <si>
    <t>ÁREA INTERNA - ALMOXARIFADOS E GALPÕES (INSALUBRIDADE GRAU MÉDIO/20%)</t>
  </si>
  <si>
    <t>ÁREA INTERNA - ESPAÇOS LIVRES, SAGUÃO, HALL E SALÃO</t>
  </si>
  <si>
    <t>ÁREA INTERNA - BANHEIROS (INSALUBRIDADE GRAU MÁXIMO/40%)</t>
  </si>
  <si>
    <t>ÁREA EXTERNA - PISOS PAVIMENTADOS</t>
  </si>
  <si>
    <t>ÁREA EXTERNA - VARRIÇÃO DE PASSEIOS</t>
  </si>
  <si>
    <t>ÁREA EXTERNA - PÁTIOS E ÁREAS EXTERNA COM MÉDIA/BAIXA FREQUÊNCIA</t>
  </si>
  <si>
    <t>VALOR ESTIMADO MENSAL</t>
  </si>
  <si>
    <t>VALOR ESTIMADO ANUAL</t>
  </si>
  <si>
    <t>QUANTIDADE ESTIMADA DE FUNCIONÁRIOS</t>
  </si>
  <si>
    <t>TIPO DE ÁREAS ESTIMADAS (IN 5/2017)</t>
  </si>
  <si>
    <t>METRAGEM (m²) (A)</t>
  </si>
  <si>
    <t>Frequência de limpeza/ mês
(B)</t>
  </si>
  <si>
    <t>Metragem limpa/ mês
(C) = (A)X(B)</t>
  </si>
  <si>
    <t>Metragem limpa/dia
(D)=(C)/22</t>
  </si>
  <si>
    <t>Nº de postos necessários
(F)=(D)/produtividade adotada</t>
  </si>
  <si>
    <t>1</t>
  </si>
  <si>
    <t>INTERNAS</t>
  </si>
  <si>
    <t>1.1</t>
  </si>
  <si>
    <t>Pisos acarpetados/ frios: 800-1200² (cf. Anexo VI-B, item 3.1, alínea “a” e “b” da IN nº 5/2017). Produtividade adotada: 1200m²</t>
  </si>
  <si>
    <t>CAMPUS AMÍLCAR FERREIRA SOBRAL</t>
  </si>
  <si>
    <t>1.1.1</t>
  </si>
  <si>
    <t>Salas de aula Pavimento Térreo</t>
  </si>
  <si>
    <t>1.1.2</t>
  </si>
  <si>
    <t>Salas Administrativas Pavimento Térreo</t>
  </si>
  <si>
    <t>1.1.3</t>
  </si>
  <si>
    <t>Salas de aula Pavimento Superior</t>
  </si>
  <si>
    <t>1.1.4</t>
  </si>
  <si>
    <t>Salas Administrativas Pavimento Superior</t>
  </si>
  <si>
    <t>1.1.5</t>
  </si>
  <si>
    <t>Biblioteca</t>
  </si>
  <si>
    <t>1.1.6</t>
  </si>
  <si>
    <t>Laboratório de informatica, brinquedoteca, Liberte (lab de artes), residencia pedagógica, mini auditório</t>
  </si>
  <si>
    <t>Auditório</t>
  </si>
  <si>
    <t>Loja conceito e salas da administração</t>
  </si>
  <si>
    <t>Gabinetes dos professores</t>
  </si>
  <si>
    <t>COLÉGIO TÉCNICO DE FLORIANO</t>
  </si>
  <si>
    <t>1.1.8</t>
  </si>
  <si>
    <t>Salas de aula</t>
  </si>
  <si>
    <t>1.1.9</t>
  </si>
  <si>
    <t>Salas administrativas</t>
  </si>
  <si>
    <t>1.1.10</t>
  </si>
  <si>
    <t>FAZENDA EXPERIMENTAL NOVO RECREIO - ÁREA 1</t>
  </si>
  <si>
    <t>1.1.11</t>
  </si>
  <si>
    <t>Sala de Aula</t>
  </si>
  <si>
    <t>1.1.12</t>
  </si>
  <si>
    <t>Bloco da copa do Laboratório agroindustrial</t>
  </si>
  <si>
    <t>FAZENDA EXPERIMENTAL NOVO RECREIO - ÁREA 2</t>
  </si>
  <si>
    <t>1.1.13</t>
  </si>
  <si>
    <t>Vacaria</t>
  </si>
  <si>
    <t>ÁREAS DE USO COMUM CAFS/ CTF</t>
  </si>
  <si>
    <t>1.1.14</t>
  </si>
  <si>
    <t>Refeitório/ RU</t>
  </si>
  <si>
    <t>1.1.15</t>
  </si>
  <si>
    <t>Cozinha/ RU</t>
  </si>
  <si>
    <t>1.1.16</t>
  </si>
  <si>
    <t>Administrativo/ RU</t>
  </si>
  <si>
    <t>1.1.17</t>
  </si>
  <si>
    <t>Administrativo, alojamento/ Garagem</t>
  </si>
  <si>
    <t>1.1.18</t>
  </si>
  <si>
    <t>Guarita Vigilância</t>
  </si>
  <si>
    <t>1.1.19</t>
  </si>
  <si>
    <t>Residência Universitária</t>
  </si>
  <si>
    <t>1.2</t>
  </si>
  <si>
    <t>Laboratórios: 360-450m² (cf. Anexo VI-B, item 3.1, alínea “c” da IN nº 5/2017). Produtividade adotada: 450m² - FAZ JUS INSALUBRIDADE GRAU MÉDIO (20%)</t>
  </si>
  <si>
    <t>1.2.1</t>
  </si>
  <si>
    <t>Laboratórios de Biologia, Enfermagem e Ledoc – CAFS</t>
  </si>
  <si>
    <t>1.2.2</t>
  </si>
  <si>
    <t>Laboratório de produção da Administração</t>
  </si>
  <si>
    <t>1.2.3</t>
  </si>
  <si>
    <t>Lixeira para Descarte de resíduos laboratoriais</t>
  </si>
  <si>
    <t>1.2.4</t>
  </si>
  <si>
    <t>Laboratórios de enfermagem e solo</t>
  </si>
  <si>
    <t>1.2.5</t>
  </si>
  <si>
    <t>Lixeira proxima a BR</t>
  </si>
  <si>
    <t>1.2.6</t>
  </si>
  <si>
    <t>Laboratório de pisicultura</t>
  </si>
  <si>
    <t>1.2.7</t>
  </si>
  <si>
    <t>Laboratório agroindustrial</t>
  </si>
  <si>
    <t>1.2.8</t>
  </si>
  <si>
    <t>Casa do Mel</t>
  </si>
  <si>
    <t>1.2.9</t>
  </si>
  <si>
    <t>Câmara Fria/RU</t>
  </si>
  <si>
    <t>1.2.10</t>
  </si>
  <si>
    <t>Consultório Odontológico/Residencia Universitária</t>
  </si>
  <si>
    <t>1.2.11</t>
  </si>
  <si>
    <t>Lixeira/RU</t>
  </si>
  <si>
    <t>1.3</t>
  </si>
  <si>
    <t xml:space="preserve">Almoxarifados e galpões: 1500-2500m² (cf. Anexo VI-B, item 3.1, alínea “d” da IN nº 5/2017). Produtividade adotada: 1500m² </t>
  </si>
  <si>
    <t>1.3.1</t>
  </si>
  <si>
    <t>Almoxarifado</t>
  </si>
  <si>
    <t>1.3.2</t>
  </si>
  <si>
    <t>Depósitos</t>
  </si>
  <si>
    <t>1.3.3</t>
  </si>
  <si>
    <t>1.3.4</t>
  </si>
  <si>
    <t>Depósito (Alojamento Estudantil)</t>
  </si>
  <si>
    <t>1.3.5</t>
  </si>
  <si>
    <t>Garagem de Maquinas Agricolas</t>
  </si>
  <si>
    <t>1.3.6</t>
  </si>
  <si>
    <t>Almoxarifado/ Garagem</t>
  </si>
  <si>
    <t>1.3.7</t>
  </si>
  <si>
    <t>Almoxarifado/ RU</t>
  </si>
  <si>
    <t>1.4</t>
  </si>
  <si>
    <t>Almoxarifados e galpões: 1500-2500m² (cf. Anexo VI-B, item 3.1, alínea “d” da IN nº 5/2017). Produtividade adotada: 1500m² - FAZ JUS INSALUBRIDADE GRAU MÉDIO (20%)</t>
  </si>
  <si>
    <t>1.4.1</t>
  </si>
  <si>
    <t>Avicultura de Corte (4 Unidades)</t>
  </si>
  <si>
    <t>1.4.2</t>
  </si>
  <si>
    <t>Avicultura de posturas (2 Unidades)</t>
  </si>
  <si>
    <t>1.4.3</t>
  </si>
  <si>
    <t>Abatedouro de frango</t>
  </si>
  <si>
    <t>1.4.4</t>
  </si>
  <si>
    <t>Almoxarifado/ Galpão de Materiais e Ferramentas</t>
  </si>
  <si>
    <t>1.4.5</t>
  </si>
  <si>
    <t>Área proxima dos tanques de peixes</t>
  </si>
  <si>
    <t>1.4.6</t>
  </si>
  <si>
    <t>Suinocultura</t>
  </si>
  <si>
    <t>1.4.7</t>
  </si>
  <si>
    <t>1.5</t>
  </si>
  <si>
    <t>Áreas com espaços livres-saguão, hall e salão: 1000-1500m² (cf. Anexo VI-B, item 3.1, alínea “f” da IN nº 5/2017). Produtividade adotada: 1500m²</t>
  </si>
  <si>
    <t>1.5.1</t>
  </si>
  <si>
    <t>Passarelas, corredores, pavimento térreo</t>
  </si>
  <si>
    <t>1.5.2</t>
  </si>
  <si>
    <t>Passarelas, corredores, escadas rampas pavimento superior</t>
  </si>
  <si>
    <t>1.5.3</t>
  </si>
  <si>
    <t>Hall/Auditório</t>
  </si>
  <si>
    <t>1.5.4</t>
  </si>
  <si>
    <t>Corredores/Gabinete dos professores</t>
  </si>
  <si>
    <t>1.5.5</t>
  </si>
  <si>
    <t>Corredores/Loja Conceito e Lab. de produção</t>
  </si>
  <si>
    <t>1.5.6</t>
  </si>
  <si>
    <t>Hall, corredores, saguão</t>
  </si>
  <si>
    <t>1.5.7</t>
  </si>
  <si>
    <t>Quadra poliesportiva</t>
  </si>
  <si>
    <t>1.5.8</t>
  </si>
  <si>
    <t>Hall/ RU</t>
  </si>
  <si>
    <t>1.5.9</t>
  </si>
  <si>
    <t>Garagem</t>
  </si>
  <si>
    <t>1.6</t>
  </si>
  <si>
    <t>Banheiros: 200-300m² (cf. Anexo VI-B, item 3.1, alínea “g” da IN nº 5/2017). Produtividade adotada: 200m² - FAZ JUZ INSABLUBRIDADE GRAU MÁXIMO (40%) - SÚMULA 448 TST</t>
  </si>
  <si>
    <t>1.6.1</t>
  </si>
  <si>
    <t>Bloco do setor Administrativo, salas de aula e laboratórios Pavimento térreo</t>
  </si>
  <si>
    <t>1.6.2</t>
  </si>
  <si>
    <t>Bloco da Biblioteca, salas de aula e laboratórios Pavimento Superior</t>
  </si>
  <si>
    <t>1.6.3</t>
  </si>
  <si>
    <t>1.6.4</t>
  </si>
  <si>
    <t>Loja conceito e Lab de Produção</t>
  </si>
  <si>
    <t>1.6.5</t>
  </si>
  <si>
    <t>1.6.6</t>
  </si>
  <si>
    <t>Salas de aula, administrativos e outros</t>
  </si>
  <si>
    <t>1.6.7</t>
  </si>
  <si>
    <t>1.6.8</t>
  </si>
  <si>
    <t>1.6.9</t>
  </si>
  <si>
    <t>1.6.10</t>
  </si>
  <si>
    <t>1.6.11</t>
  </si>
  <si>
    <t>1.6.12</t>
  </si>
  <si>
    <t>1.6.13</t>
  </si>
  <si>
    <t>1.6.14</t>
  </si>
  <si>
    <t>1.6.15</t>
  </si>
  <si>
    <t>Cozinha, refeitório e outros/ RU</t>
  </si>
  <si>
    <t>1.6.16</t>
  </si>
  <si>
    <t>Guarita</t>
  </si>
  <si>
    <t>2</t>
  </si>
  <si>
    <t>ÁREAS EXTERNAS</t>
  </si>
  <si>
    <t>2.1</t>
  </si>
  <si>
    <t>Pisos pavimentados adjacentes/contíguos às edificações: 1800-2700m² (Anexo VI-B, item 3.2, alínea “a” IN nº 5/2017). Produtividade adotada: 1800m²</t>
  </si>
  <si>
    <t>2.1.1</t>
  </si>
  <si>
    <t>Calçadas adjacentes às edificações CAFS</t>
  </si>
  <si>
    <t>2.1.2</t>
  </si>
  <si>
    <t>Calçadas adjacentes às edificações Gabinete de Professores</t>
  </si>
  <si>
    <t>2.1.3</t>
  </si>
  <si>
    <t>Calçadas adjacentes às edificações Loja Conceito e Lab de Produção</t>
  </si>
  <si>
    <t>2.1.4</t>
  </si>
  <si>
    <t>Calçadas adjacentes às edificações</t>
  </si>
  <si>
    <t>2.1.5</t>
  </si>
  <si>
    <t>Calçadas adjacentes às edificações Sala de aula</t>
  </si>
  <si>
    <t>2.1.6</t>
  </si>
  <si>
    <t>Calçadas adjacentes às edificações Laboratório agroindustrial</t>
  </si>
  <si>
    <t>2.1.7</t>
  </si>
  <si>
    <t>Calçadas adjacentes às edificações Casa do Mel</t>
  </si>
  <si>
    <t>2.1.8</t>
  </si>
  <si>
    <t>Calçadas adjacentes às edificações Almoxarifado/Garagem de Maquinas Agricolas</t>
  </si>
  <si>
    <t>2.1.9</t>
  </si>
  <si>
    <t>Calçadas adjacentes às edificações - tanques psicultura</t>
  </si>
  <si>
    <t>2.1.10</t>
  </si>
  <si>
    <t>Calçadas adjacentes às edificações - laboratório da piscicultura</t>
  </si>
  <si>
    <t>2.1.11</t>
  </si>
  <si>
    <t>Calçadas adjacentes às edificações - Vacaria</t>
  </si>
  <si>
    <t>2.1.12</t>
  </si>
  <si>
    <t>Calçadas adjacentes às edificações/ RU</t>
  </si>
  <si>
    <t>2.1.13</t>
  </si>
  <si>
    <t>Calçadas adjacentes às edificações/ Garagem</t>
  </si>
  <si>
    <t>2.1.14</t>
  </si>
  <si>
    <t>Calçadas adjacentes às edificações/ Residência</t>
  </si>
  <si>
    <t>2.2</t>
  </si>
  <si>
    <t>Varrição de passeios e arruamentos: 6000-9000m² (Anexo VI-B, item 3.2, alínea “b” IN nº 5/2017). Produtividade adotada: 6000m²</t>
  </si>
  <si>
    <t>2.2.1</t>
  </si>
  <si>
    <t>Passeios e estacionamentos/ Prédio Principal</t>
  </si>
  <si>
    <t>2.2.2</t>
  </si>
  <si>
    <t>Passeios e estacionamentos/ Restaurante</t>
  </si>
  <si>
    <t>2.2.3</t>
  </si>
  <si>
    <t>Passeios e estacionamentos/ Gabinete dos professores</t>
  </si>
  <si>
    <t>2.2.4</t>
  </si>
  <si>
    <t>Passeios e estacionamentos/ Loja Conceito</t>
  </si>
  <si>
    <t>2.2.5</t>
  </si>
  <si>
    <t>Passeios e estacionamentos</t>
  </si>
  <si>
    <t>2.3</t>
  </si>
  <si>
    <t>Pátios e áreas verdes com alta frequência: 1800-2700m²  (Anexo VI-B, item 3.2, alínea “d” IN nº 5/2017). Produtividade adotada: 1800m²</t>
  </si>
  <si>
    <t>2.3.1</t>
  </si>
  <si>
    <t>Pátio Prédio Principal</t>
  </si>
  <si>
    <t>2.3.2</t>
  </si>
  <si>
    <t>Jardim proximo ao RU</t>
  </si>
  <si>
    <t>2.3.3</t>
  </si>
  <si>
    <t>Jardim proximo ao Gabinete de Professores</t>
  </si>
  <si>
    <t>2.3.4</t>
  </si>
  <si>
    <t>2.3.5</t>
  </si>
  <si>
    <t>Pátio Laboratório agroindustrial</t>
  </si>
  <si>
    <t>2.3.6</t>
  </si>
  <si>
    <t>Jardins Laboratório agroindustrial</t>
  </si>
  <si>
    <t>2.3.7</t>
  </si>
  <si>
    <t>Pátio da Vacaria</t>
  </si>
  <si>
    <t>2.4</t>
  </si>
  <si>
    <t>Pátio e áreas verdes com média/ baixa frequência: 1800-2700m² (cf. Anexo VI-B, Item 3.2, alínea "e" IN nº 5/2017). Produtividade adotada: 2700m²</t>
  </si>
  <si>
    <t>2.4.1</t>
  </si>
  <si>
    <t>Arredores Prédio Principal - Executado a cada 3 meses</t>
  </si>
  <si>
    <t>2.4.2</t>
  </si>
  <si>
    <t>Arredores Gabinete dos Professores - Executado a cada 3 meses</t>
  </si>
  <si>
    <t>Arredores do Prédio Principal - Executado a cada 3 meses</t>
  </si>
  <si>
    <t>2.4.3</t>
  </si>
  <si>
    <t>Arredores da quadra Poliesportiva</t>
  </si>
  <si>
    <t>2.4.4</t>
  </si>
  <si>
    <t>Campo de futebol</t>
  </si>
  <si>
    <t>2.4.5</t>
  </si>
  <si>
    <t>Arredores do campo de futebol</t>
  </si>
  <si>
    <t>2.4.6</t>
  </si>
  <si>
    <t>Arredores dos Prédios (laboratórios, galpões, agoindustria, psicultura, outros) - Executado a cada 1 meses</t>
  </si>
  <si>
    <t>2.4.7</t>
  </si>
  <si>
    <t>Caminho até a bomba d'agua - Executado a cada 3 meses</t>
  </si>
  <si>
    <t>2.4.8</t>
  </si>
  <si>
    <t>Ao redor do Viveiro -  Executado a cada 6 meses</t>
  </si>
  <si>
    <t>2.4.9</t>
  </si>
  <si>
    <t>Arredores dos Prédios (suinocultura, vacaria e apriscos - Executado a cada 1 meses</t>
  </si>
  <si>
    <t>2.4.10</t>
  </si>
  <si>
    <t>Arredores da Caixa d'água, ETE, RU, Loja Conceito, Residência e Alojamento Estudantil - Executado a cada 3 meses</t>
  </si>
  <si>
    <t>2.4.11</t>
  </si>
  <si>
    <t>Arredores da Garagem - Excutado a cada 3 meses</t>
  </si>
  <si>
    <t>2.4.12</t>
  </si>
  <si>
    <t>Arredores da Rua Principal - Executado a cada 3 meses</t>
  </si>
  <si>
    <t>2.5</t>
  </si>
  <si>
    <t>Coleta de detritos em pátios e áreas verdes com frequência diária: 100.000 m2. (cf. Anexo VI-B, item 3.2, alínea “f” IN nº 5/2017). Produtividade adotada: 100.000m²</t>
  </si>
  <si>
    <t>2.5.1</t>
  </si>
  <si>
    <t>Ruas gerais, passeio das ruas</t>
  </si>
  <si>
    <t>-</t>
  </si>
  <si>
    <t>TOTAL ESTIMADO DE SERVENTES</t>
  </si>
  <si>
    <t>TOTAL ESTIMADO DE ENCARREGADO</t>
  </si>
  <si>
    <t>OBSERVAÇÕES:</t>
  </si>
  <si>
    <r>
      <rPr>
        <b/>
        <sz val="10"/>
        <rFont val="Arial"/>
        <charset val="134"/>
      </rPr>
      <t>O valor do metro quadrado nas áreas internas e externas do servente de limpeza é resultado da seguinte operação</t>
    </r>
    <r>
      <rPr>
        <b/>
        <sz val="10"/>
        <color rgb="FFFF0000"/>
        <rFont val="Arial"/>
        <charset val="134"/>
      </rPr>
      <t>:  = (1/produtividade adotada na área) X Preço Homem-mês.</t>
    </r>
  </si>
  <si>
    <r>
      <rPr>
        <b/>
        <sz val="10"/>
        <rFont val="Arial"/>
        <charset val="134"/>
      </rPr>
      <t>O valor do metro quadrado nas áreas internas e externas do encarregado é resultado da seguinte operação</t>
    </r>
    <r>
      <rPr>
        <b/>
        <sz val="10"/>
        <color rgb="FFFF0000"/>
        <rFont val="Arial"/>
        <charset val="134"/>
      </rPr>
      <t>:  = (Preço Homem-mês/(30 X Produtividade da área).</t>
    </r>
  </si>
  <si>
    <t>Para chegar no valor mensal do serviço, adotou-se o seguinte procedimento:</t>
  </si>
  <si>
    <t>Multiplicou-se o preço mensal unitário do metro quadrado pela quantidade da área a ser limpa. Depois somou-se o valor mensal de cada área, chegando assim no valor estimado mensal e valor estimado semestral.</t>
  </si>
  <si>
    <t>A realização do cálculo para estimar a quantidade de serventes foi realizada em 4 partes: na primeira, dividiu-se a quantidade da respectiva área física a ser limpa pela produtividade adotada. Na segunda, somou-se o resultado de todas as áreas físicas internas e,  como a soma gerou duas casas decimais, o resultado foi arredondado para baixo porque o algarismo na casa condição é menor que 5. Na terceira, somou-se o resultado de todas as áreas físicas externas e,  como a soma gerou duas casas decimais, o resultado foi arredondado para baixo porque o algarismo na casa condição é menor que 5. Por fim, foi realizada a soma do total das áreas físicas internas e externas, chegando assim no total estimado de serventes.</t>
  </si>
  <si>
    <t>Para estimar a quantidade de encarregado dividiu-se a quantidade de serventes estimada por 30.  Como a divisão gerou duas casas decimais, o resultado foi arredondado para baixo porque o algarismo na casa condição é menor que 5.</t>
  </si>
  <si>
    <t>Para a realização dos cálculos acima observou-se o disposto  nos itens 6. (Complemento dos Serviços de Limpeza e Conservação) e 7. (Valor Mensal dos Serviços), contidos no Anexo VII-D (Modelo de Planilha de Custos e Formação de Preços) da IN 05/2017.</t>
  </si>
  <si>
    <t>Categoria profissional: ENCARREGADO DE TURMA DE LIMPEZA - 44 HORAS</t>
  </si>
  <si>
    <t>EXEQUIBILIDADE</t>
  </si>
  <si>
    <t>Nº do Processo</t>
  </si>
  <si>
    <t>23111.043918/2024-90</t>
  </si>
  <si>
    <t>Discriminação dos Serviços</t>
  </si>
  <si>
    <t>A</t>
  </si>
  <si>
    <t>Data de apresentação da proposta</t>
  </si>
  <si>
    <t>ETAPA I</t>
  </si>
  <si>
    <t>B</t>
  </si>
  <si>
    <t>Município</t>
  </si>
  <si>
    <t>FLORIANO-PI</t>
  </si>
  <si>
    <t>CUSTOS OBRIGATÓRIOS (C.O.)</t>
  </si>
  <si>
    <t>C</t>
  </si>
  <si>
    <t>Ano do Acordo, Convenção ou Dissídio Coletivo</t>
  </si>
  <si>
    <t>PI000114/2024</t>
  </si>
  <si>
    <t>TOTAL ETAPA I</t>
  </si>
  <si>
    <t>D</t>
  </si>
  <si>
    <t>Nº de meses de execução contratual</t>
  </si>
  <si>
    <t>ETAPA II</t>
  </si>
  <si>
    <t>Identificação do Serviço</t>
  </si>
  <si>
    <t>RETENÇÕES, DEDUÇÕES E AMORTIZAÇÕES</t>
  </si>
  <si>
    <t>Tipo de Serviço</t>
  </si>
  <si>
    <t>Unidade de Medida</t>
  </si>
  <si>
    <t>Quantidade estimada a contratar (em função da unidade de medida)</t>
  </si>
  <si>
    <t xml:space="preserve">INSS </t>
  </si>
  <si>
    <t>Limpeza e Conserv.</t>
  </si>
  <si>
    <t>Posto</t>
  </si>
  <si>
    <t>VALE ALIMENTAÇÃO</t>
  </si>
  <si>
    <t>Dados para composição dos custos referentes à mão-de-obra</t>
  </si>
  <si>
    <t xml:space="preserve">INSUMOS </t>
  </si>
  <si>
    <t>Tipo de serviço (mesmo serviço com características distintas)</t>
  </si>
  <si>
    <t>ENCARREGADO DE TURMA DE LIMPEZA</t>
  </si>
  <si>
    <t>Vale transporte</t>
  </si>
  <si>
    <t>Classificação Brasileira de Ocupações (CBO)</t>
  </si>
  <si>
    <t>4101-05</t>
  </si>
  <si>
    <t>TOTAL DAS DEDUÇÕES</t>
  </si>
  <si>
    <t>Salário Nominativo da Categoria Profissional</t>
  </si>
  <si>
    <t>VALOR TOTAL EMPREG.</t>
  </si>
  <si>
    <t>Categoria profissional (vinculada à execução contratual)</t>
  </si>
  <si>
    <t>SINDICATO DAS EMPRESAS DE ASSEIO E CONSERVACAO DO ESTADO DO PIAUI</t>
  </si>
  <si>
    <t>VALOR INCIDÊNCIA 11% INSS</t>
  </si>
  <si>
    <t>Data base da categoria (dia/mês/ano)</t>
  </si>
  <si>
    <t>1º janeiro de 2024</t>
  </si>
  <si>
    <t>Total</t>
  </si>
  <si>
    <t xml:space="preserve">IRPJ </t>
  </si>
  <si>
    <t>MÓDULO 1 - COMPOSIÇÃO DA REMUNERAÇÃO</t>
  </si>
  <si>
    <t>IN 1234/12 - CÓD. 6147: 1,2%</t>
  </si>
  <si>
    <t>COMPOSIÇÃO DA REMUNERAÇÃO</t>
  </si>
  <si>
    <t>%</t>
  </si>
  <si>
    <t>VALOR (R$)</t>
  </si>
  <si>
    <t>IN 1234/12 - 6170: 4,8%</t>
  </si>
  <si>
    <t>Salário Base</t>
  </si>
  <si>
    <t>VALOR TOTAL EMPREG. (1,2%)</t>
  </si>
  <si>
    <t>Adicional Periculosidade</t>
  </si>
  <si>
    <r>
      <rPr>
        <b/>
        <sz val="12"/>
        <rFont val="Calibri"/>
        <charset val="134"/>
      </rPr>
      <t xml:space="preserve">Total </t>
    </r>
    <r>
      <rPr>
        <b/>
        <sz val="12"/>
        <color rgb="FFFF0000"/>
        <rFont val="Calibri"/>
        <charset val="134"/>
      </rPr>
      <t>(1,2%)</t>
    </r>
  </si>
  <si>
    <t>Adicional Insalubridade</t>
  </si>
  <si>
    <t>CSLL</t>
  </si>
  <si>
    <t>Adicional Noturno</t>
  </si>
  <si>
    <t>E</t>
  </si>
  <si>
    <t>Adicional de Hora Noturna Reduzida</t>
  </si>
  <si>
    <t>F</t>
  </si>
  <si>
    <t>Outros (especificar)</t>
  </si>
  <si>
    <t>COFINS</t>
  </si>
  <si>
    <t>TOTAL DO MÓDULO 1</t>
  </si>
  <si>
    <t>MÓDULO 2 – ENCARGOS E BENEFÍCIOS ANUAIS, MENSAIS E DIÁRIOS</t>
  </si>
  <si>
    <t>PIS/PASEP</t>
  </si>
  <si>
    <t>Submódulo 2.1 - 13º Salário, Férias e Adicional de Férias</t>
  </si>
  <si>
    <t>13 (Décimo-terceiro) salário</t>
  </si>
  <si>
    <t>Férias e Abono de Férias</t>
  </si>
  <si>
    <t>ISSQN ( 2% a 5%) vide planilha</t>
  </si>
  <si>
    <t>TOTAL SUBMÓDULO 2.1</t>
  </si>
  <si>
    <r>
      <rPr>
        <b/>
        <sz val="10"/>
        <color rgb="FF000000"/>
        <rFont val="Arial"/>
        <charset val="134"/>
      </rPr>
      <t xml:space="preserve">BASE DE CÁLCULO PARA O SUBMÓDULO 2.2 </t>
    </r>
    <r>
      <rPr>
        <sz val="10"/>
        <color rgb="FF000000"/>
        <rFont val="Arial"/>
        <charset val="134"/>
      </rPr>
      <t>(MÓDULO 1 + SUBMÓDULO 2.1)</t>
    </r>
  </si>
  <si>
    <t>MÓDULO 1</t>
  </si>
  <si>
    <t>SUBMÓDULO 2.1</t>
  </si>
  <si>
    <t>TOTAL - ETAPA II</t>
  </si>
  <si>
    <t>TOTAL</t>
  </si>
  <si>
    <t>Submódulo 2.2 - GPS, FGTS e Outras Contribuições</t>
  </si>
  <si>
    <r>
      <rPr>
        <b/>
        <sz val="12"/>
        <color rgb="FF0033CC"/>
        <rFont val="Calibri"/>
        <charset val="134"/>
      </rPr>
      <t>ETAPA I + ETAPA II (</t>
    </r>
    <r>
      <rPr>
        <b/>
        <sz val="12"/>
        <color rgb="FFFF0000"/>
        <rFont val="Calibri"/>
        <charset val="134"/>
      </rPr>
      <t>TOTAL "E1E2"</t>
    </r>
    <r>
      <rPr>
        <b/>
        <sz val="12"/>
        <color rgb="FF0033CC"/>
        <rFont val="Calibri"/>
        <charset val="134"/>
      </rPr>
      <t>)</t>
    </r>
  </si>
  <si>
    <t>INSS</t>
  </si>
  <si>
    <t>RETENÇÃO 11% - IN 2110/22</t>
  </si>
  <si>
    <t>TOTAL: CUSTOS OBRIGATÓRIOS + RETENÇÕES</t>
  </si>
  <si>
    <t>Salário Educação</t>
  </si>
  <si>
    <t>SAT (Seguro Acidente de Trabalho)</t>
  </si>
  <si>
    <t>SESC ou SESI</t>
  </si>
  <si>
    <t>SENAI - SENAC</t>
  </si>
  <si>
    <t>SEBRAE</t>
  </si>
  <si>
    <t>G</t>
  </si>
  <si>
    <t>INCRA</t>
  </si>
  <si>
    <t>H</t>
  </si>
  <si>
    <t>FGTS</t>
  </si>
  <si>
    <t xml:space="preserve">ETAPA III </t>
  </si>
  <si>
    <t>TOTAL SUBMÓDULO 2.2</t>
  </si>
  <si>
    <t>DEMONSTRAÇÃO DA EXEQUIBILIDADE</t>
  </si>
  <si>
    <t>Nº DE POSTOS DO CONTRATO</t>
  </si>
  <si>
    <t>Submódulo 2.3 - Benefícios Mensais e Diários</t>
  </si>
  <si>
    <r>
      <rPr>
        <b/>
        <sz val="12"/>
        <rFont val="Calibri"/>
        <charset val="134"/>
      </rPr>
      <t>TOTAL POR POSTO "</t>
    </r>
    <r>
      <rPr>
        <b/>
        <sz val="12"/>
        <color rgb="FFFF0000"/>
        <rFont val="Calibri"/>
        <charset val="134"/>
      </rPr>
      <t>E1E2</t>
    </r>
    <r>
      <rPr>
        <b/>
        <sz val="12"/>
        <rFont val="Calibri"/>
        <charset val="134"/>
      </rPr>
      <t xml:space="preserve">": </t>
    </r>
    <r>
      <rPr>
        <i/>
        <sz val="12"/>
        <color rgb="FFFF0000"/>
        <rFont val="Calibri"/>
        <charset val="134"/>
      </rPr>
      <t>(CUSTO HOMEM/MÊS) -</t>
    </r>
    <r>
      <rPr>
        <b/>
        <sz val="12"/>
        <rFont val="Calibri"/>
        <charset val="134"/>
      </rPr>
      <t xml:space="preserve"> </t>
    </r>
    <r>
      <rPr>
        <i/>
        <sz val="12"/>
        <color rgb="FFFF0000"/>
        <rFont val="Calibri"/>
        <charset val="134"/>
      </rPr>
      <t>(C.O. + RETENÇÕES)</t>
    </r>
  </si>
  <si>
    <t>Transporte</t>
  </si>
  <si>
    <t>Auxílio-Refeição/Alimentação</t>
  </si>
  <si>
    <t>Assistência Médica e Familiar</t>
  </si>
  <si>
    <t>VALOR MENSAL DO CONTRATO</t>
  </si>
  <si>
    <t>Seguro de vida</t>
  </si>
  <si>
    <r>
      <rPr>
        <b/>
        <sz val="12"/>
        <rFont val="Calibri"/>
        <charset val="134"/>
      </rPr>
      <t>TOTAL MENSAL "</t>
    </r>
    <r>
      <rPr>
        <b/>
        <sz val="12"/>
        <color rgb="FFFF0000"/>
        <rFont val="Calibri"/>
        <charset val="134"/>
      </rPr>
      <t>E1+E2</t>
    </r>
    <r>
      <rPr>
        <b/>
        <sz val="12"/>
        <rFont val="Calibri"/>
        <charset val="134"/>
      </rPr>
      <t>"</t>
    </r>
  </si>
  <si>
    <t>TOTAL SUBMÓDULO 2.3</t>
  </si>
  <si>
    <t>SALDO DA EXEQUIBILIDADE</t>
  </si>
  <si>
    <t>DEMAIS CUSTOS (MÓDULO 3, EXCETO ALÍNEA "E"; MÓDULO 4; MÓDULO 5; CUSTOS INDIRETOS E LUCRO)</t>
  </si>
  <si>
    <t>QUADRO-RESUMO DO MÓDULO 2 - ENCARGOS, BENEFÍCIOS ANUAIS, MENSAIS E DIÁRIOS</t>
  </si>
  <si>
    <t>SALDO FINAL</t>
  </si>
  <si>
    <t>Módulo 2 - Encargos, Benefícios Anuais, Mensais e Diários</t>
  </si>
  <si>
    <t>SALDO DE EXEQUIBILIDADE ANUAL POR EMPREGADO</t>
  </si>
  <si>
    <t>13º Salário, Férias e Adicional de Férias</t>
  </si>
  <si>
    <t>SALDO DE EXEQUIBILIDADE ANUAL TOTAL</t>
  </si>
  <si>
    <t>GPS, FGTS e Outras Contribuições</t>
  </si>
  <si>
    <r>
      <rPr>
        <b/>
        <sz val="12"/>
        <rFont val="Calibri"/>
        <charset val="134"/>
      </rPr>
      <t>O "</t>
    </r>
    <r>
      <rPr>
        <b/>
        <sz val="12"/>
        <color rgb="FFFF0000"/>
        <rFont val="Calibri"/>
        <charset val="134"/>
      </rPr>
      <t>SALDO DA EXEQUIBILIDADE</t>
    </r>
    <r>
      <rPr>
        <b/>
        <sz val="12"/>
        <rFont val="Calibri"/>
        <charset val="134"/>
      </rPr>
      <t xml:space="preserve">" REPRESENTA O VALOR RESTANTE DA PLANILHA QUE NÃO FOI CONTABILIZADO PELOS CUSTOS OBRIGATÓRIOS (ETAPA I) E PELAS RETENÇÕES TRIBUTÁRIAS (ETAPA II). O LICITANTE TERÁ QUE  COMPROVAR QUE O "SALDO DA EXEQUIBILIDADE" SERÁ </t>
    </r>
    <r>
      <rPr>
        <b/>
        <sz val="12"/>
        <color rgb="FFFF0000"/>
        <rFont val="Calibri"/>
        <charset val="134"/>
      </rPr>
      <t>SUFICIENTE PARA SUPRIR OS DEMAIS CUSTOS</t>
    </r>
    <r>
      <rPr>
        <b/>
        <sz val="12"/>
        <rFont val="Calibri"/>
        <charset val="134"/>
      </rPr>
      <t>.</t>
    </r>
  </si>
  <si>
    <t>Benefícios Mensais e Diários</t>
  </si>
  <si>
    <t>TOTAL DO MÓDULO 2</t>
  </si>
  <si>
    <r>
      <rPr>
        <b/>
        <sz val="10"/>
        <color rgb="FF000000"/>
        <rFont val="Arial"/>
        <charset val="134"/>
      </rPr>
      <t xml:space="preserve">BASE DE CÁLCULO PARA O MÓDULO 3 </t>
    </r>
    <r>
      <rPr>
        <sz val="10"/>
        <color rgb="FF000000"/>
        <rFont val="Arial"/>
        <charset val="134"/>
      </rPr>
      <t>(MÓDULO 1 + MÓDULO 2)</t>
    </r>
  </si>
  <si>
    <t>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</si>
  <si>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</si>
  <si>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</si>
  <si>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</si>
  <si>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</si>
  <si>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Aviso Prévio Trabalhado</t>
  </si>
  <si>
    <t>Incidência dos encargos do submódulo 2.2 sobre Aviso Prévio Trabalhado</t>
  </si>
  <si>
    <t>Multa do FGTS sobre o Aviso Prévio Indenizado e sobre o Aviso Prévio Trabalhado</t>
  </si>
  <si>
    <t>TOTAL DO MÓDULO 3</t>
  </si>
  <si>
    <r>
      <rPr>
        <b/>
        <sz val="10"/>
        <color rgb="FF000000"/>
        <rFont val="Arial"/>
        <charset val="134"/>
      </rPr>
      <t xml:space="preserve">BASE DE CÁLCULO PARA O MÓDULO 4 </t>
    </r>
    <r>
      <rPr>
        <sz val="10"/>
        <color rgb="FF000000"/>
        <rFont val="Arial"/>
        <charset val="134"/>
      </rPr>
      <t>(MÓDULO 1 + MÓDULO 2 + MÓDULO 3)</t>
    </r>
  </si>
  <si>
    <t>MÓDULO 3</t>
  </si>
  <si>
    <t>MÓDULO 4 –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</si>
  <si>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</si>
  <si>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</si>
  <si>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</si>
  <si>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</si>
  <si>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</si>
  <si>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</si>
  <si>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Substituto na cobertura de outras ausências</t>
  </si>
  <si>
    <t>TOTAL SUBMÓDULO 4.1</t>
  </si>
  <si>
    <t>Submódulo 4.2 - Intrajornada</t>
  </si>
  <si>
    <t>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</si>
  <si>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</si>
  <si>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</si>
  <si>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</si>
  <si>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</si>
  <si>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Ausências Legais</t>
  </si>
  <si>
    <t>4.2</t>
  </si>
  <si>
    <t>Intrajornada</t>
  </si>
  <si>
    <t>TOTAL DO MÓDULO 4</t>
  </si>
  <si>
    <t>MÓDULO 5 – INSUMOS DIVERSOS</t>
  </si>
  <si>
    <t>INSUMOS DIVERSOS</t>
  </si>
  <si>
    <t>Materiais</t>
  </si>
  <si>
    <t>EPIs</t>
  </si>
  <si>
    <t>Uniformes</t>
  </si>
  <si>
    <t>Equipamentos / Ferramentas</t>
  </si>
  <si>
    <t>TOTAL DO MÓDULO 5</t>
  </si>
  <si>
    <r>
      <rPr>
        <b/>
        <sz val="10"/>
        <color rgb="FF000000"/>
        <rFont val="Arial"/>
        <charset val="134"/>
      </rPr>
      <t xml:space="preserve">BASE DE CÁLCULO PARA O MÓDULO 6 </t>
    </r>
    <r>
      <rPr>
        <sz val="10"/>
        <color rgb="FF000000"/>
        <rFont val="Arial"/>
        <charset val="134"/>
      </rPr>
      <t>(MÓDULO 1 + MÓDULO 2 + MÓDULO 3 + MÓDULO 4 + MÓDULO 5)</t>
    </r>
  </si>
  <si>
    <t>MÓDULO 4</t>
  </si>
  <si>
    <t>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</si>
  <si>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</si>
  <si>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</si>
  <si>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</si>
  <si>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</si>
  <si>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</si>
  <si>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</si>
  <si>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</t>
  </si>
  <si>
    <t>C.2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</si>
  <si>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</si>
  <si>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</si>
  <si>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</si>
  <si>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</si>
  <si>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</si>
  <si>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</si>
  <si>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</si>
  <si>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</si>
  <si>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</si>
  <si>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</si>
  <si>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</si>
  <si>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</si>
  <si>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</si>
  <si>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</si>
  <si>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>Categoria profissional: OPERADOR DE ROÇADEIRA - 44 HORAS</t>
  </si>
  <si>
    <t>OPERADOR DE ROÇADEIRA</t>
  </si>
  <si>
    <t>6410-15</t>
  </si>
  <si>
    <t>QUANTIDADE DE EMPREGADOS NO POSTO</t>
  </si>
  <si>
    <t>PREÇO TOTAL DO EMPREGADO</t>
  </si>
  <si>
    <t>VALOR TOTAL DO POSTO</t>
  </si>
  <si>
    <t>Categoria profissional: SERVENTE DE LIMPEZA INTERNO ( 44 HORAS) - PISOS ACARPETEADOS</t>
  </si>
  <si>
    <t>M²</t>
  </si>
  <si>
    <t>SERVENTE LIMPEZA ÁREAS INST.</t>
  </si>
  <si>
    <t>5143-20</t>
  </si>
  <si>
    <t>Categoria profissional: SERVENTE DE LIMPEZA INTERNA - 44 HORAS (20% INSALUBRIDADE) - LABORATÓRIOS</t>
  </si>
  <si>
    <t>* Adicional de Insalubridade incidente sobre o salário mínimo</t>
  </si>
  <si>
    <t>Categoria profissional: SERVENTE DE LIMPEZA INTERNA  (44 HORAS) - ALMOXARIFADOS E GALPÕES</t>
  </si>
  <si>
    <t>Categoria profissional: SERVENTE DE LIMPEZA INTERNA - 44 HORAS - (20% INSALUBRIDADE) - ALMOXARIFADOS E GALPÕES</t>
  </si>
  <si>
    <t>Categoria profissional: SERVENTE DE LIMPEZA INTERNA  (44 HORAS) - ESPAÇOS LIVRES: SAGUÃO, HALL E SALÃO</t>
  </si>
  <si>
    <t>Categoria profissional: SERVENTE DE LIMPEZA INTERNA - 44 HORAS (40% INSALUBRIDADE) - BANHEIROS</t>
  </si>
  <si>
    <t>SERVENTE LIMPEZA - BANHEIRO COLETIVO GRANDE CIRCULAÇÃO</t>
  </si>
  <si>
    <t>Categoria profissional: SERVENTE DE LIMPEZA EXTERNA (44 HORAS) - PISOS PAVIMENTADOS</t>
  </si>
  <si>
    <t>Categoria profissional: SERVENTE DE LIMPEZA EXTERNA (44 HORAS) - VARRIÇÃO DE PASSEIOS</t>
  </si>
  <si>
    <t>Categoria profissional: SERVENTE DE LIMPEZA EXTERNA (44 HORAS) - PÁTIOS E ÁREAS VERDES COM ALTA FREQUÊNCIA</t>
  </si>
  <si>
    <t>Categoria profissional: SERVENTE DE LIMPEZA EXTERNA (44 HORAS) - PÁTIOS E ÁREAS VERDE COM BAIXA FREQUÊNCIA</t>
  </si>
  <si>
    <t>Categoria profissional: SERVENTE DE LIMPEZA EXTERNA (44 HORAS) - COLETA DE DETRITOS</t>
  </si>
  <si>
    <r>
      <rPr>
        <b/>
        <sz val="10"/>
        <color rgb="FF000000"/>
        <rFont val="Arial"/>
        <charset val="134"/>
      </rPr>
      <t xml:space="preserve">TABELA 1 - QUANTITATIVOS MÍNIMOS DE MATERIAL DE LIMPEZA - UTILIZADOS PELO SERVENTE DE LIMPEZA INTERNA </t>
    </r>
    <r>
      <rPr>
        <b/>
        <u/>
        <sz val="10"/>
        <color rgb="FF000000"/>
        <rFont val="Arial"/>
        <charset val="134"/>
      </rPr>
      <t>(ENTREGA MENSAL)</t>
    </r>
  </si>
  <si>
    <t>UNIDADE</t>
  </si>
  <si>
    <t>QUANT.</t>
  </si>
  <si>
    <t>VALOR UNITÁRIO</t>
  </si>
  <si>
    <t>VALOR TOTAL</t>
  </si>
  <si>
    <t>01</t>
  </si>
  <si>
    <t>Água sanitária, composição química hipoclorito de sódio, hidróxido de sódio, cloreto, teor cloro ativo varia de 2 a 2,50%,  classe  corrosivo classe 8,  número risco 85, risco saúde 3, corrosividade 1, peso molecular cloro 74,50, densidade de 1,20 a 1 g/l, cor amarela esverdeada bastante fraca, aplicação lavagem e alvejante de roupas, banheiras, pias, tipo comum. Embalagem de 1l</t>
  </si>
  <si>
    <t>CAIXA C/12 UNIDADES</t>
  </si>
  <si>
    <t>02</t>
  </si>
  <si>
    <t>Álcool etílico limpeza de ambientes, tipo etílico hidratado (líquido), aplicação limpeza, Concentração 70%. Embalagem de 1 L</t>
  </si>
  <si>
    <t>03</t>
  </si>
  <si>
    <t>Solução ácida para limpeza, embalagem de 1 litro</t>
  </si>
  <si>
    <t>LITRO</t>
  </si>
  <si>
    <t>04</t>
  </si>
  <si>
    <t>Cera, tipo líquida, cor incolor leitoso, composição a base de água, carnaúba e resinas metalizadas, características adicionais antiderrapante, impermeabilizante, aplicação limpeza de pisos. Galão com 5 litros</t>
  </si>
  <si>
    <t>GALÃO</t>
  </si>
  <si>
    <t>05</t>
  </si>
  <si>
    <t>Desodorizador, apresentação aerosol, aplicação aromatizador ambiental, características adicionais Ação neutralizante. Embalagem de 360 ml</t>
  </si>
  <si>
    <t>06</t>
  </si>
  <si>
    <t>Desinfetante, composição à base de quaternário de amônio, forma física solução aquosa concentrada, característica adicional com aroma, embalagem de 1 litro</t>
  </si>
  <si>
    <t>07</t>
  </si>
  <si>
    <t>Desodorizador sanitário, composição paradicloro benzeno, essência e corante, peso líquido 35g, aspecto físico tablete sólido, características adicionais suporte plástico para vaso sanitário. Com 3 unidades.</t>
  </si>
  <si>
    <t>08</t>
  </si>
  <si>
    <t>Limpa Cerâmicas. (Ex. Azulim). Embalagem de 1 litro</t>
  </si>
  <si>
    <t>09</t>
  </si>
  <si>
    <t>Flanela tamanho 40 x 60 cm (no mínimo). Podendo variar em até 5% para mais ou para menos</t>
  </si>
  <si>
    <t>10</t>
  </si>
  <si>
    <t>Lustra móveis. Embalagem de 200 ml</t>
  </si>
  <si>
    <t>11</t>
  </si>
  <si>
    <t>Pano de chão alvejado – tamanho aprox. De 60 x 40cm - com resistência aproximada de 24 (vinte e quatro) batidas</t>
  </si>
  <si>
    <t>12</t>
  </si>
  <si>
    <t xml:space="preserve">Palha de aço fina </t>
  </si>
  <si>
    <t>FARDO C/ 14 UNIDADES</t>
  </si>
  <si>
    <t>13</t>
  </si>
  <si>
    <t>Veneno para matar insetos. Embalagem de 300 ml / 196 g</t>
  </si>
  <si>
    <t>14</t>
  </si>
  <si>
    <t>Papel toalha picotado, com 1250 folhas tamanho 23 x 21 cm</t>
  </si>
  <si>
    <t>PACOTE C/ 1250 FOLHAS</t>
  </si>
  <si>
    <t>15</t>
  </si>
  <si>
    <t>Papel higiênico, material celulose virgem, comprimento 30 m, largura 10 cm, tipo picotado, quantidade Folha dupla, cor branca, características adicionais extra macio e sem perfume. Fardo com 64 unidades</t>
  </si>
  <si>
    <t>FARDO C/ 64 PACOTES C/ 4 ROLOS</t>
  </si>
  <si>
    <t>16</t>
  </si>
  <si>
    <t>Sabonete líquido, aspecto físico líquido Cremoso perolado, aplicação assepsia das mãos, características Adicionais ph neutro, densidade 0,9 a 1,05 g/m3, composição agentes emolientes e hidratantes, compostos de sais.</t>
  </si>
  <si>
    <t>GALÃO C/ 5 LITROS</t>
  </si>
  <si>
    <t>17</t>
  </si>
  <si>
    <t>Sabão em pó granulado. Embalagem de 500g</t>
  </si>
  <si>
    <t>18</t>
  </si>
  <si>
    <t>Sabão em barra, glicerinado, pacote com 1 kg Divididos em 5 barras de 200 gr.</t>
  </si>
  <si>
    <t>PACOTE C/ 5 BARRAS</t>
  </si>
  <si>
    <t>19</t>
  </si>
  <si>
    <t>Saco plástico para lixo de 30 litros - Fardo com 100 unidades</t>
  </si>
  <si>
    <t>FARDO COM 100 UNIDADES</t>
  </si>
  <si>
    <t>20</t>
  </si>
  <si>
    <t>Saco plástico para lixo 50 litros</t>
  </si>
  <si>
    <t>21</t>
  </si>
  <si>
    <t>Saco Plástico pra lixo 100 litros</t>
  </si>
  <si>
    <t>22</t>
  </si>
  <si>
    <t>Álcool em gel 70º, embalagem contendo 550ml, caixa 12 unidades com 440 g ou 550 ml</t>
  </si>
  <si>
    <t>23</t>
  </si>
  <si>
    <t>Esponja dupla face para limpeza - Caixa com 60 unidades</t>
  </si>
  <si>
    <t>CAIXA COM 60 UNIDADES</t>
  </si>
  <si>
    <t>24</t>
  </si>
  <si>
    <t>Detergente líquido neutro, embalagem de 500 ml - Caixa com 24 unidades</t>
  </si>
  <si>
    <t>CAIXA COM 24 UNIDADES</t>
  </si>
  <si>
    <t>25</t>
  </si>
  <si>
    <t>Cera, tipo líquida, cor preta, aplicação limpeza de pisos. Galão com 5 litros</t>
  </si>
  <si>
    <t>26</t>
  </si>
  <si>
    <t>Soda cáustica, pote 500 g</t>
  </si>
  <si>
    <t>Limpador para quadro branco, spray com gatilho 500 ml</t>
  </si>
  <si>
    <t>EMPREGADOS</t>
  </si>
  <si>
    <t>VALOR MENSAL POR EMPREGADO</t>
  </si>
  <si>
    <r>
      <rPr>
        <b/>
        <sz val="10"/>
        <color rgb="FF000000"/>
        <rFont val="Arial"/>
        <charset val="134"/>
      </rPr>
      <t xml:space="preserve">TABELA 2 - MATERIAIS – </t>
    </r>
    <r>
      <rPr>
        <b/>
        <u/>
        <sz val="10"/>
        <color rgb="FF000000"/>
        <rFont val="Arial"/>
        <charset val="134"/>
      </rPr>
      <t>AQUISIÇÃO IMEDIATA</t>
    </r>
  </si>
  <si>
    <t>SERVENTE DE LIMPEZA INTERNA E EXTERNA</t>
  </si>
  <si>
    <t>Dispenser para papel toalha</t>
  </si>
  <si>
    <t>Dispenser para sabonete líquido, capacidade 800 ml</t>
  </si>
  <si>
    <t>Mangueira para jardim ¾' x 2,00mm peça com 30 metros.</t>
  </si>
  <si>
    <t>Mangueira para jardim ½” x 2,00mm peça com 30 metros.</t>
  </si>
  <si>
    <t>Adaptador de mangueiras ½”</t>
  </si>
  <si>
    <t>Adaptador de mangueiras ¾'</t>
  </si>
  <si>
    <t>Cavalete piso molhado/escorregadio, medindo 62/30 cm
fabricado em PEAD (polietileno de alta resistência)</t>
  </si>
  <si>
    <t>Desentupidor vaso sanitário: haste de plástico 40 cm e base
de borracha</t>
  </si>
  <si>
    <t>Pá pequena material plástico com cabo de 80cm para lixo</t>
  </si>
  <si>
    <t>Rodo de alumínio com cabo de madeira, 40cm</t>
  </si>
  <si>
    <t>Rodo de plástico 40cm, com cabo madeira, aplicação</t>
  </si>
  <si>
    <t>CAIXA</t>
  </si>
  <si>
    <t>Balde plástico cap. 30 litros com tampa</t>
  </si>
  <si>
    <t>Balde plástico cap. 10 litros</t>
  </si>
  <si>
    <t>Vassoura de nylon, p/uso em vaso sanitário, c/cabo de material Plástico, impermeável, passível de desinfecção</t>
  </si>
  <si>
    <t>Escovinha Multiuso Cerdas Em Nylon</t>
  </si>
  <si>
    <t>Lixeira plástica de 10 litros</t>
  </si>
  <si>
    <t>Vassoura, material com cerdas de pelo sintético, material cabo madeira, Comprimento cepa 30 cm, aplicação Limpeza em geral. Caixa com 12 unidades.</t>
  </si>
  <si>
    <t>Espanador de pó 40 cm pena de avestruz</t>
  </si>
  <si>
    <t>Espanador De Microfibra Para Limpeza Eletrostático Extensível Com Haste Longa 142 Cm Cabeça Dobrável</t>
  </si>
  <si>
    <t>SERVENTE DE LIMPEZA EXTERNA</t>
  </si>
  <si>
    <t>Extensão monofásica 2,5 mm com 45 m de extensão</t>
  </si>
  <si>
    <t>Pedestal de Isolamento zebrada, confeccionado em três partes: Base soprada em PP (polipropileno) + Tubo em PVC + Tampa injetada em poliacetal, com dois ganchos opostos do mesmo material da tampa para fixação de corrente plástica, cordas ou fita zebrada, medindo 95cm altura (base+tubo+tampa)</t>
  </si>
  <si>
    <t>Corrente plástica zebrada, nas cores padrão, preto e amarelo com elos pequenos (38 mm x 21 mm x 5 mm), resistente às intempéries climáticas e proteção contra raios UV, com 5 m de comprimento</t>
  </si>
  <si>
    <t>METROS</t>
  </si>
  <si>
    <t>Fita zebrada, 70mm x 200mm</t>
  </si>
  <si>
    <t>ROLO</t>
  </si>
  <si>
    <t>Vassoura Rastelo Fixa 22 Dentes Em Aço</t>
  </si>
  <si>
    <t>Podador de galhos altos, serrote com cabo extensível 2,4</t>
  </si>
  <si>
    <t>Tesoura de poda, para cerca viva e jardinagem</t>
  </si>
  <si>
    <t>VALOR TOTAL SERVENTE DE LIMPEZA INTERNA</t>
  </si>
  <si>
    <t>VALOR TOTAL SERVENTE DE LIMPEZA EXTERNA</t>
  </si>
  <si>
    <t>TABELA 3 - FERRAMENTAS – AQUISIÇÃO IMEDIATA</t>
  </si>
  <si>
    <t>Chibanca</t>
  </si>
  <si>
    <t>R$ 70,86</t>
  </si>
  <si>
    <t>Picareta</t>
  </si>
  <si>
    <t>R$ 101,88</t>
  </si>
  <si>
    <t>Forcado reto em aço-carbono, 4 dentes.</t>
  </si>
  <si>
    <t>R$ 70,64</t>
  </si>
  <si>
    <t>Forcado curvo em aço-carbono, 4 dentes.</t>
  </si>
  <si>
    <t>R$ 59,80</t>
  </si>
  <si>
    <t>Forcado reto em aço-carbono, 10 dentes.</t>
  </si>
  <si>
    <t>R$ 149,70</t>
  </si>
  <si>
    <t>Pá ajuntadeira quadrada em aço SAE 1045, diâmetro de olho 35 mm, acabamento em verniz e cabo de madeira com apoio "D" em PVC. Dimensões (305 x 230 mm).</t>
  </si>
  <si>
    <t>Enxada Norte estreita em aço SAE 1045, diâmetro de olho 38 mm, acabamento em verniz e cabo de madeira redondo, dimensões (2,0 libras – 230 x 240 mm).</t>
  </si>
  <si>
    <t>R$ 52,45</t>
  </si>
  <si>
    <t>Vassourão gari reforçado, cerdas de PET 0,8 mm, dimensões 40 x 6 x 10 cm para varrição pesada. Cabo em madeira 1,40m.</t>
  </si>
  <si>
    <t>R$ 19,13</t>
  </si>
  <si>
    <t>Facão para mato em aço-carbono 18" com fio liso, cabo em PEAD ou madeira.</t>
  </si>
  <si>
    <t>R$ 34,35</t>
  </si>
  <si>
    <t>Facão corte de cana em aço-carbono 12", cabo em PEAD ou madeira</t>
  </si>
  <si>
    <t>R$ 38,60</t>
  </si>
  <si>
    <t>Ciscador ancinho de aço</t>
  </si>
  <si>
    <t>R$ 18,59</t>
  </si>
  <si>
    <t>TABELA 4 - FERRAMENTAS – AQUISIÇÃO ANUAL</t>
  </si>
  <si>
    <t>Fio de nylon quadrado 3,0mm x 120m para roçadeira 55cc</t>
  </si>
  <si>
    <t>Bobina</t>
  </si>
  <si>
    <t>Lâmina Faca 2 pontas  350 mm para Roçadeira Manual</t>
  </si>
  <si>
    <t>UNID</t>
  </si>
  <si>
    <t>TABELA 5 - EQUIPAMENTO - CONTROLE DE JORNADA</t>
  </si>
  <si>
    <t>COMUM A TODOS OS CARGOS</t>
  </si>
  <si>
    <t>VIDA ÚTIL (MESES)</t>
  </si>
  <si>
    <t>VALOR DEPRECIÁVEL (80%)</t>
  </si>
  <si>
    <t>DEPRECIAÇÃO MENSAL</t>
  </si>
  <si>
    <t>Registro de ponto eletrônico</t>
  </si>
  <si>
    <t>TABELA 6 - EQUIPAMENTOS - AQUISIÇÃO ANUAL, EM REGIME DE COMODATO, SEM CUSTO ADICIONAL</t>
  </si>
  <si>
    <t>SERVENTE DE LIMPEZA INTERNA</t>
  </si>
  <si>
    <t>Escada de alumínio com 4 degraus</t>
  </si>
  <si>
    <t>Cortador de grama, voltagem 220v, tipo elétrico, potência mínima de 1.000w, coletor com capacidade mínima de 23 litros.</t>
  </si>
  <si>
    <t>Carrinho de mão</t>
  </si>
  <si>
    <t>Contêiner coletor de lixo, mat. plástico, com 2 (dois) rodízios e capacidade para 240L</t>
  </si>
  <si>
    <t>Escada de alumínio com 12 degraus</t>
  </si>
  <si>
    <t>Roçadeira 38,9 cc, potência de 2KW, tanque com capacidade de 0,58L</t>
  </si>
  <si>
    <t>VALOR TOTAL OPERADOR DE ROÇADEIRA</t>
  </si>
  <si>
    <t>VALOR TOTAL ENCARREGADO</t>
  </si>
  <si>
    <t xml:space="preserve">TABELA 7 - QUANTITATIVOS MÍNIMOS DE EPI'S </t>
  </si>
  <si>
    <t>SERVENTE DE LIMPEZA EXTERNA – ENTREGA ANUAL</t>
  </si>
  <si>
    <t>Luva de segurança confeccionada em raspa, tira de reforço externo em raspa entre os dedos polegar e indicador, punhos de 7cm, 15cm e 20cm. Com CA.</t>
  </si>
  <si>
    <t>PAR</t>
  </si>
  <si>
    <t>Chapéu com proteção solar para rosto, nuca e orelhas. Com CA.</t>
  </si>
  <si>
    <t>Respirador completo com filtro para produto químico. Com
CA</t>
  </si>
  <si>
    <t>Óculos de Segurança (Lentes em Policarbonato de alta resistência a impacto, anti-risco e incolor. Hastes tipo espátula com ajuste de comprimento, proteção UVA). Com CA.</t>
  </si>
  <si>
    <t>TOTAL MENSAL POR FUNCIONÁRIO</t>
  </si>
  <si>
    <t>SERVENTE DE LIMPEZA INTERNA - ENTREGA ANUAL</t>
  </si>
  <si>
    <t>Óculos de Segurança (Lentes em Policarbonato de alta</t>
  </si>
  <si>
    <t>SERVENTE DE LIMPEZA INTERNA - ENTREGA MENSAL</t>
  </si>
  <si>
    <t>Luva de látex tamanho P</t>
  </si>
  <si>
    <t>Luva de látex tamanho M</t>
  </si>
  <si>
    <t>Luva de látex tamanho G</t>
  </si>
  <si>
    <t>Máscara respirador descartável PFF2/N95*</t>
  </si>
  <si>
    <t>OPERADOR DE ROÇADEIRA - ENTREGA ANUAL</t>
  </si>
  <si>
    <t>Protetor facial com tela de aço para operador de roçadeira. Com CA.</t>
  </si>
  <si>
    <t>Tela de proteção para trabalhos com roçadeira, medindo 2m x 5m, confeccionada em nylon, com hastes metálicas.</t>
  </si>
  <si>
    <t>Protetor Auricular de inserção em silicone. Atenuação mínima de 15 dB. Com CA. Caixa c/ 100 unidades</t>
  </si>
  <si>
    <t>Avental de segurança confeccionado com alça no pescoço e
tiras de regulagem na cintura. Com CA</t>
  </si>
  <si>
    <t>Perneira confeccionada em raspa, com fechamento em
velcro ou fivela para ajuste. Com CA</t>
  </si>
  <si>
    <t xml:space="preserve">TABELA 8 - UNIFORMES </t>
  </si>
  <si>
    <t>SERVENTE DE LIMPEZA INTERNA E ENCARREGADO</t>
  </si>
  <si>
    <t>ENTREGA</t>
  </si>
  <si>
    <t>QT. POR FUNCIONÁRIO</t>
  </si>
  <si>
    <t>Bota de borracha, cor preta, cano médio, com palmilha antibacteriana e confortável, com solado de borracha antiderrapante, com CA*</t>
  </si>
  <si>
    <t>IMEDIATA</t>
  </si>
  <si>
    <t>Calça em brim/ jeans com bolsos laterais e traseiros</t>
  </si>
  <si>
    <t>Camiseta 100% algodão, manga curta e gola careca, com logo da empresa</t>
  </si>
  <si>
    <t>Crachá de identificação com foto, porta crachá e prendedor</t>
  </si>
  <si>
    <t>Meia 100% algodão, cano médio</t>
  </si>
  <si>
    <t>Calçado de segurança, cor preta com solado antiderrapante, impermeável, com palmilha antibacteriana e confortável. Com CA.</t>
  </si>
  <si>
    <t>VALOR MENSAL</t>
  </si>
  <si>
    <t>SERVENTE DE LIMPEZA EXTERNA E OPERADOR DE ROÇADEIRA</t>
  </si>
  <si>
    <t>Camiseta 100% algodão, manga longa e gola careca, com proteção UV</t>
  </si>
  <si>
    <t>Bota de borracha, cor preta, cano longo, com palmilha antibacteriana e confortável, com solado de borracha antiderrapante, com CA*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</si>
</sst>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3">
    <numFmt numFmtId="44" formatCode="_-&quot;R$&quot;\ * #,##0.00_-;\-&quot;R$&quot;\ * #,##0.00_-;_-&quot;R$&quot;\ * &quot;-&quot;??_-;_-@_-"/>
    <numFmt numFmtId="164" formatCode="_-&quot;R$&quot;* #,##0_-;\-&quot;R$&quot;* #,##0_-;_-&quot;R$&quot;* &quot;-&quot;_-;_-@_-"/>
    <numFmt numFmtId="165" formatCode="_-&quot;R$&quot;* #,##0.00_-;\-&quot;R$&quot;* #,##0.00_-;_-&quot;R$&quot;* &quot;-&quot;??_-;_-@_-"/>
    <numFmt numFmtId="166" formatCode="_(* #,##0.00_);_(* \(#,##0.00\);_(* \-??_);_(@_)"/>
    <numFmt numFmtId="167" formatCode="&quot;R$ &quot;#,##0.00_);[Red]&quot;(R$ &quot;#,###.00\)"/>
    <numFmt numFmtId="168" formatCode="_-&quot;R$ &quot;* #,##0.00_-;&quot;-R$ &quot;* #,##0.00_-;_-&quot;R$ &quot;* \-??_-;_-@"/>
    <numFmt numFmtId="169" formatCode="&quot;R$&quot;#,##0.00;[Red]\-&quot;R$&quot;#,##0.00"/>
    <numFmt numFmtId="170" formatCode="_-&quot;R$&quot;\ * #,##0.00_-;\-&quot;R$&quot;\ * #,##0.00_-;_-&quot;R$&quot;\ * &quot;-&quot;??_-;_-@"/>
    <numFmt numFmtId="171" formatCode="&quot;R$&quot;\ #,##0.00_);[Red]\(&quot;R$&quot;\ #,###.00\)"/>
    <numFmt numFmtId="172" formatCode="_-&quot;R$ &quot;* #,##0.00_-;&quot;-R$ &quot;* #,##0.00_-;_-&quot;R$ &quot;* \-??_-;_-@_-"/>
    <numFmt numFmtId="173" formatCode="d/m/yyyy"/>
    <numFmt numFmtId="174" formatCode="0.00_);[Red]\(0.00\)"/>
    <numFmt numFmtId="176" formatCode="0.0000"/>
    <numFmt numFmtId="177" formatCode="0.000%"/>
    <numFmt numFmtId="178" formatCode="0.00000"/>
    <numFmt numFmtId="179" formatCode="_-* #,##0.00_-;\-* #,##0.00_-;_-* \-??_-;_-@_-"/>
    <numFmt numFmtId="180" formatCode="0.000000_ "/>
    <numFmt numFmtId="181" formatCode="0.0000000_ "/>
    <numFmt numFmtId="182" formatCode="[$R$-416]\ #,##0.00;[Red]\-[$R$-416]\ #,##0.00"/>
    <numFmt numFmtId="183" formatCode="_-[$R$-416]\ * #,##0.00_-;\-[$R$-416]\ * #,##0.00_-;_-[$R$-416]\ * \-??_-;_-@_-"/>
    <numFmt numFmtId="184" formatCode="_(&quot;R$ &quot;* #,##0.00_);_(&quot;R$ &quot;* \(#,##0.00\);_(&quot;R$ &quot;* \-??_);_(@_)"/>
    <numFmt numFmtId="185" formatCode="0.000"/>
    <numFmt numFmtId="186" formatCode="d\.m\.yy"/>
  </numFmts>
  <fonts count="40">
    <font>
      <sz val="11"/>
      <color rgb="FF000000"/>
      <name val="Calibri"/>
      <charset val="134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0"/>
      <color rgb="FF000000"/>
      <name val="Times New Roman"/>
      <charset val="134"/>
    </font>
    <font>
      <sz val="10"/>
      <name val="Arial"/>
      <charset val="134"/>
    </font>
    <font>
      <b/>
      <sz val="11"/>
      <color rgb="FF000000"/>
      <name val="Calibri"/>
      <charset val="134"/>
    </font>
    <font>
      <b/>
      <sz val="10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vertAlign val="superscript"/>
      <sz val="10"/>
      <color theme="1"/>
      <name val="Arial"/>
      <charset val="134"/>
    </font>
    <font>
      <b/>
      <sz val="12"/>
      <color rgb="FF000000"/>
      <name val="Arial"/>
      <charset val="134"/>
    </font>
    <font>
      <b/>
      <sz val="12"/>
      <name val="Calibri"/>
      <charset val="134"/>
    </font>
    <font>
      <sz val="12"/>
      <color theme="1"/>
      <name val="Calibri"/>
      <charset val="134"/>
    </font>
    <font>
      <sz val="12"/>
      <color theme="0"/>
      <name val="Calibri"/>
      <charset val="134"/>
    </font>
    <font>
      <b/>
      <sz val="12"/>
      <color rgb="FF0033CC"/>
      <name val="Calibri"/>
      <charset val="134"/>
    </font>
    <font>
      <b/>
      <sz val="12"/>
      <color rgb="FFFF0000"/>
      <name val="Calibri"/>
      <charset val="134"/>
    </font>
    <font>
      <sz val="12"/>
      <name val="Calibri"/>
      <charset val="134"/>
    </font>
    <font>
      <b/>
      <u/>
      <sz val="12"/>
      <name val="Calibri"/>
      <charset val="134"/>
    </font>
    <font>
      <b/>
      <sz val="12"/>
      <color rgb="FF000000"/>
      <name val="Calibri"/>
      <charset val="1"/>
    </font>
    <font>
      <sz val="11"/>
      <name val="Calibri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26"/>
      <color rgb="FFFF000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rgb="FF000000"/>
      <name val="Calibri"/>
      <charset val="1"/>
    </font>
    <font>
      <b/>
      <sz val="10"/>
      <color rgb="FFFFFFFF"/>
      <name val="Arial"/>
      <charset val="134"/>
    </font>
    <font>
      <b/>
      <i/>
      <sz val="10"/>
      <color rgb="FFFFFFFF"/>
      <name val="Arial"/>
      <charset val="134"/>
    </font>
    <font>
      <i/>
      <sz val="10"/>
      <color rgb="FF000000"/>
      <name val="Arial"/>
      <charset val="134"/>
    </font>
    <font>
      <sz val="10"/>
      <color rgb="FFFFFFFF"/>
      <name val="Arial"/>
      <charset val="134"/>
    </font>
    <font>
      <b/>
      <i/>
      <sz val="10"/>
      <color rgb="FF000000"/>
      <name val="Arial"/>
      <charset val="134"/>
    </font>
    <font>
      <i/>
      <sz val="10"/>
      <color rgb="FFFFFFFF"/>
      <name val="Arial"/>
      <charset val="134"/>
    </font>
    <font>
      <sz val="10"/>
      <color rgb="FFC9211E"/>
      <name val="Arial"/>
      <charset val="134"/>
    </font>
    <font>
      <sz val="9"/>
      <color rgb="FF000000"/>
      <name val="Arial"/>
      <charset val="134"/>
    </font>
    <font>
      <b/>
      <sz val="9"/>
      <color rgb="FF000000"/>
      <name val="Arial"/>
      <charset val="134"/>
    </font>
    <font>
      <i/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i/>
      <sz val="12"/>
      <color rgb="FFFF0000"/>
      <name val="Calibri"/>
      <charset val="134"/>
    </font>
    <font>
      <b/>
      <u/>
      <sz val="10"/>
      <color rgb="FF000000"/>
      <name val="Arial"/>
      <charset val="134"/>
    </font>
    <font>
      <sz val="9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BE5D5"/>
        <bgColor rgb="FFFBE5D6"/>
      </patternFill>
    </fill>
    <fill>
      <patternFill patternType="solid">
        <fgColor rgb="FFBFBFBF"/>
        <bgColor rgb="FFB4C7E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BE5D5"/>
        <bgColor rgb="FFFBE5D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BE5D6"/>
        <bgColor rgb="FFFBE5D5"/>
      </patternFill>
    </fill>
    <fill>
      <patternFill patternType="solid">
        <fgColor rgb="FFE2EFD9"/>
        <bgColor rgb="FFE2F0D9"/>
      </patternFill>
    </fill>
    <fill>
      <patternFill patternType="solid">
        <fgColor rgb="FF8EAADB"/>
        <bgColor rgb="FF9CC3E5"/>
      </patternFill>
    </fill>
    <fill>
      <patternFill patternType="solid">
        <fgColor rgb="FFFFFFFF"/>
        <bgColor rgb="FFFFFFCC"/>
      </patternFill>
    </fill>
    <fill>
      <patternFill patternType="solid">
        <fgColor theme="6" tint="0.59987182226020086"/>
        <bgColor rgb="FFE2EFD9"/>
      </patternFill>
    </fill>
    <fill>
      <patternFill patternType="solid">
        <fgColor theme="0"/>
        <bgColor rgb="FFE2F0D9"/>
      </patternFill>
    </fill>
    <fill>
      <patternFill patternType="solid">
        <fgColor theme="9" tint="0.79989013336588644"/>
        <bgColor rgb="FFE2EFD9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theme="3" tint="0.59987182226020086"/>
        <bgColor rgb="FF808080"/>
      </patternFill>
    </fill>
    <fill>
      <patternFill patternType="solid">
        <fgColor rgb="FF008080"/>
        <bgColor rgb="FF008080"/>
      </patternFill>
    </fill>
    <fill>
      <patternFill patternType="solid">
        <fgColor rgb="FFE2F0D9"/>
        <bgColor rgb="FFE2EFD9"/>
      </patternFill>
    </fill>
    <fill>
      <patternFill patternType="solid">
        <fgColor rgb="FFB4C7E7"/>
        <bgColor rgb="FF9DC3E6"/>
      </patternFill>
    </fill>
    <fill>
      <patternFill patternType="solid">
        <fgColor rgb="FFD9D9D9"/>
        <bgColor rgb="FFDBDBDB"/>
      </patternFill>
    </fill>
    <fill>
      <patternFill patternType="solid">
        <fgColor rgb="FF000000"/>
        <bgColor rgb="FF003300"/>
      </patternFill>
    </fill>
    <fill>
      <patternFill patternType="solid">
        <fgColor rgb="FFFFC000"/>
        <bgColor rgb="FFFFFF00"/>
      </patternFill>
    </fill>
    <fill>
      <patternFill patternType="solid">
        <fgColor rgb="FFFFE599"/>
        <bgColor rgb="FFFBE5D5"/>
      </patternFill>
    </fill>
    <fill>
      <patternFill patternType="solid">
        <fgColor rgb="FF34A853"/>
        <bgColor rgb="FF008080"/>
      </patternFill>
    </fill>
    <fill>
      <patternFill patternType="solid">
        <fgColor rgb="FF00B0F0"/>
        <bgColor rgb="FF008080"/>
      </patternFill>
    </fill>
    <fill>
      <patternFill patternType="solid">
        <fgColor rgb="FFDBDBDB"/>
        <bgColor rgb="FFD9D9D9"/>
      </patternFill>
    </fill>
    <fill>
      <patternFill patternType="solid">
        <fgColor rgb="FF9DC3E6"/>
        <bgColor rgb="FF9CC3E5"/>
      </patternFill>
    </fill>
    <fill>
      <patternFill patternType="solid">
        <fgColor rgb="FF92D050"/>
        <bgColor rgb="FFBFBFBF"/>
      </patternFill>
    </fill>
    <fill>
      <patternFill patternType="solid">
        <fgColor rgb="FFBDD7EE"/>
        <bgColor rgb="FFB4C7E7"/>
      </patternFill>
    </fill>
    <fill>
      <patternFill patternType="solid">
        <fgColor rgb="FF9CC3E5"/>
        <bgColor rgb="FF9DC3E6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164" fontId="4" fillId="0" borderId="0" applyBorder="0" applyAlignment="0" applyProtection="0"/>
    <xf numFmtId="165" fontId="4" fillId="0" borderId="0" applyBorder="0" applyAlignment="0" applyProtection="0"/>
    <xf numFmtId="9" fontId="4" fillId="0" borderId="0" applyBorder="0" applyAlignment="0" applyProtection="0"/>
    <xf numFmtId="166" fontId="19" fillId="0" borderId="0" applyBorder="0" applyProtection="0"/>
    <xf numFmtId="44" fontId="36" fillId="0" borderId="0" applyFont="0" applyFill="0" applyBorder="0" applyAlignment="0" applyProtection="0"/>
  </cellStyleXfs>
  <cellXfs count="40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7" fontId="1" fillId="0" borderId="0" xfId="0" applyNumberFormat="1" applyFont="1" applyAlignment="1">
      <alignment vertical="center"/>
    </xf>
    <xf numFmtId="167" fontId="2" fillId="4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2" fillId="4" borderId="0" xfId="0" applyNumberFormat="1" applyFont="1" applyFill="1"/>
    <xf numFmtId="0" fontId="3" fillId="0" borderId="0" xfId="0" applyFont="1" applyAlignment="1">
      <alignment vertical="center"/>
    </xf>
    <xf numFmtId="167" fontId="1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top" wrapText="1"/>
    </xf>
    <xf numFmtId="168" fontId="2" fillId="2" borderId="1" xfId="0" applyNumberFormat="1" applyFont="1" applyFill="1" applyBorder="1" applyAlignment="1">
      <alignment vertical="center"/>
    </xf>
    <xf numFmtId="168" fontId="0" fillId="0" borderId="0" xfId="0" applyNumberFormat="1"/>
    <xf numFmtId="0" fontId="4" fillId="0" borderId="3" xfId="0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shrinkToFi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8" fontId="1" fillId="0" borderId="6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8" fontId="2" fillId="5" borderId="1" xfId="0" applyNumberFormat="1" applyFont="1" applyFill="1" applyBorder="1" applyAlignment="1">
      <alignment vertical="center"/>
    </xf>
    <xf numFmtId="168" fontId="2" fillId="2" borderId="2" xfId="0" applyNumberFormat="1" applyFont="1" applyFill="1" applyBorder="1" applyAlignment="1">
      <alignment vertical="center"/>
    </xf>
    <xf numFmtId="168" fontId="5" fillId="4" borderId="0" xfId="0" applyNumberFormat="1" applyFont="1" applyFill="1"/>
    <xf numFmtId="168" fontId="2" fillId="2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167" fontId="4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169" fontId="4" fillId="0" borderId="3" xfId="0" applyNumberFormat="1" applyFont="1" applyBorder="1" applyAlignment="1">
      <alignment horizontal="center" vertical="top" wrapText="1"/>
    </xf>
    <xf numFmtId="170" fontId="8" fillId="7" borderId="3" xfId="0" applyNumberFormat="1" applyFont="1" applyFill="1" applyBorder="1" applyAlignment="1">
      <alignment horizontal="center" vertical="center"/>
    </xf>
    <xf numFmtId="170" fontId="1" fillId="0" borderId="0" xfId="0" applyNumberFormat="1" applyFont="1"/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71" fontId="7" fillId="0" borderId="3" xfId="0" applyNumberFormat="1" applyFont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171" fontId="8" fillId="7" borderId="3" xfId="0" applyNumberFormat="1" applyFont="1" applyFill="1" applyBorder="1" applyAlignment="1">
      <alignment horizontal="center" vertical="center" wrapText="1"/>
    </xf>
    <xf numFmtId="171" fontId="8" fillId="7" borderId="3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wrapText="1"/>
    </xf>
    <xf numFmtId="171" fontId="8" fillId="7" borderId="3" xfId="0" applyNumberFormat="1" applyFont="1" applyFill="1" applyBorder="1" applyAlignment="1">
      <alignment horizontal="center" wrapText="1"/>
    </xf>
    <xf numFmtId="49" fontId="7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1" fontId="7" fillId="0" borderId="3" xfId="0" applyNumberFormat="1" applyFont="1" applyBorder="1" applyAlignment="1">
      <alignment horizontal="center"/>
    </xf>
    <xf numFmtId="171" fontId="8" fillId="7" borderId="3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167" fontId="2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7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70" fontId="8" fillId="7" borderId="3" xfId="0" applyNumberFormat="1" applyFont="1" applyFill="1" applyBorder="1"/>
    <xf numFmtId="0" fontId="8" fillId="7" borderId="3" xfId="0" applyFont="1" applyFill="1" applyBorder="1"/>
    <xf numFmtId="170" fontId="0" fillId="0" borderId="0" xfId="0" applyNumberFormat="1"/>
    <xf numFmtId="168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168" fontId="2" fillId="2" borderId="1" xfId="0" applyNumberFormat="1" applyFont="1" applyFill="1" applyBorder="1"/>
    <xf numFmtId="168" fontId="0" fillId="6" borderId="0" xfId="0" applyNumberFormat="1" applyFill="1"/>
    <xf numFmtId="0" fontId="2" fillId="5" borderId="1" xfId="0" applyFont="1" applyFill="1" applyBorder="1"/>
    <xf numFmtId="172" fontId="2" fillId="2" borderId="1" xfId="0" applyNumberFormat="1" applyFont="1" applyFill="1" applyBorder="1"/>
    <xf numFmtId="172" fontId="5" fillId="4" borderId="0" xfId="0" applyNumberFormat="1" applyFont="1" applyFill="1"/>
    <xf numFmtId="44" fontId="2" fillId="9" borderId="1" xfId="0" applyNumberFormat="1" applyFont="1" applyFill="1" applyBorder="1"/>
    <xf numFmtId="0" fontId="0" fillId="3" borderId="0" xfId="0" applyFill="1"/>
    <xf numFmtId="0" fontId="2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67" fontId="1" fillId="0" borderId="0" xfId="0" applyNumberFormat="1" applyFont="1"/>
    <xf numFmtId="0" fontId="4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4" xfId="0" applyFont="1" applyBorder="1" applyAlignment="1">
      <alignment vertical="top" wrapText="1"/>
    </xf>
    <xf numFmtId="171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0" fontId="12" fillId="14" borderId="0" xfId="0" applyFont="1" applyFill="1"/>
    <xf numFmtId="0" fontId="13" fillId="14" borderId="0" xfId="0" applyFont="1" applyFill="1" applyAlignment="1">
      <alignment vertical="center"/>
    </xf>
    <xf numFmtId="173" fontId="1" fillId="0" borderId="1" xfId="0" applyNumberFormat="1" applyFont="1" applyBorder="1" applyAlignment="1">
      <alignment horizontal="center"/>
    </xf>
    <xf numFmtId="0" fontId="14" fillId="15" borderId="13" xfId="0" applyFont="1" applyFill="1" applyBorder="1" applyAlignment="1">
      <alignment vertical="center"/>
    </xf>
    <xf numFmtId="0" fontId="14" fillId="15" borderId="14" xfId="0" applyFont="1" applyFill="1" applyBorder="1" applyAlignment="1">
      <alignment vertical="center"/>
    </xf>
    <xf numFmtId="4" fontId="15" fillId="15" borderId="15" xfId="0" applyNumberFormat="1" applyFont="1" applyFill="1" applyBorder="1" applyAlignment="1">
      <alignment vertical="center"/>
    </xf>
    <xf numFmtId="4" fontId="15" fillId="15" borderId="16" xfId="0" applyNumberFormat="1" applyFont="1" applyFill="1" applyBorder="1" applyAlignment="1">
      <alignment vertical="center"/>
    </xf>
    <xf numFmtId="0" fontId="15" fillId="16" borderId="17" xfId="0" applyFont="1" applyFill="1" applyBorder="1" applyAlignment="1">
      <alignment horizontal="left" vertical="center"/>
    </xf>
    <xf numFmtId="4" fontId="15" fillId="16" borderId="17" xfId="0" applyNumberFormat="1" applyFont="1" applyFill="1" applyBorder="1" applyAlignment="1">
      <alignment horizontal="center" vertical="center"/>
    </xf>
    <xf numFmtId="0" fontId="11" fillId="14" borderId="0" xfId="0" applyFont="1" applyFill="1" applyAlignment="1">
      <alignment vertical="center"/>
    </xf>
    <xf numFmtId="4" fontId="15" fillId="15" borderId="18" xfId="0" applyNumberFormat="1" applyFont="1" applyFill="1" applyBorder="1" applyAlignment="1">
      <alignment vertical="center"/>
    </xf>
    <xf numFmtId="4" fontId="15" fillId="15" borderId="19" xfId="0" applyNumberFormat="1" applyFont="1" applyFill="1" applyBorder="1" applyAlignment="1">
      <alignment vertical="center"/>
    </xf>
    <xf numFmtId="0" fontId="14" fillId="17" borderId="13" xfId="0" applyFont="1" applyFill="1" applyBorder="1" applyAlignment="1">
      <alignment horizontal="left" vertical="center"/>
    </xf>
    <xf numFmtId="10" fontId="14" fillId="17" borderId="14" xfId="3" applyNumberFormat="1" applyFont="1" applyFill="1" applyBorder="1" applyAlignment="1" applyProtection="1">
      <alignment horizontal="center" vertical="center"/>
    </xf>
    <xf numFmtId="0" fontId="16" fillId="14" borderId="15" xfId="0" applyFont="1" applyFill="1" applyBorder="1" applyAlignment="1">
      <alignment horizontal="left" vertical="center"/>
    </xf>
    <xf numFmtId="2" fontId="16" fillId="14" borderId="16" xfId="0" applyNumberFormat="1" applyFont="1" applyFill="1" applyBorder="1" applyAlignment="1">
      <alignment horizontal="center" vertical="center"/>
    </xf>
    <xf numFmtId="0" fontId="17" fillId="14" borderId="15" xfId="0" applyFont="1" applyFill="1" applyBorder="1" applyAlignment="1">
      <alignment horizontal="left" vertical="center"/>
    </xf>
    <xf numFmtId="4" fontId="17" fillId="14" borderId="16" xfId="0" applyNumberFormat="1" applyFont="1" applyFill="1" applyBorder="1" applyAlignment="1">
      <alignment horizontal="center" vertical="center"/>
    </xf>
    <xf numFmtId="4" fontId="16" fillId="14" borderId="16" xfId="0" applyNumberFormat="1" applyFont="1" applyFill="1" applyBorder="1" applyAlignment="1">
      <alignment horizontal="center" vertical="center"/>
    </xf>
    <xf numFmtId="0" fontId="11" fillId="14" borderId="15" xfId="0" applyFont="1" applyFill="1" applyBorder="1" applyAlignment="1">
      <alignment horizontal="left" vertical="center"/>
    </xf>
    <xf numFmtId="4" fontId="11" fillId="14" borderId="16" xfId="0" applyNumberFormat="1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left" vertical="center"/>
    </xf>
    <xf numFmtId="4" fontId="15" fillId="14" borderId="19" xfId="0" applyNumberFormat="1" applyFont="1" applyFill="1" applyBorder="1" applyAlignment="1">
      <alignment horizontal="center" vertical="center"/>
    </xf>
    <xf numFmtId="0" fontId="14" fillId="17" borderId="14" xfId="0" applyFont="1" applyFill="1" applyBorder="1" applyAlignment="1">
      <alignment horizontal="left" vertical="center"/>
    </xf>
    <xf numFmtId="0" fontId="16" fillId="14" borderId="13" xfId="0" applyFont="1" applyFill="1" applyBorder="1" applyAlignment="1">
      <alignment horizontal="left" vertical="center"/>
    </xf>
    <xf numFmtId="10" fontId="16" fillId="14" borderId="14" xfId="3" applyNumberFormat="1" applyFont="1" applyFill="1" applyBorder="1" applyAlignment="1" applyProtection="1">
      <alignment horizontal="center" vertical="center"/>
    </xf>
    <xf numFmtId="0" fontId="15" fillId="14" borderId="15" xfId="0" applyFont="1" applyFill="1" applyBorder="1" applyAlignment="1">
      <alignment horizontal="left" vertical="center"/>
    </xf>
    <xf numFmtId="10" fontId="16" fillId="14" borderId="16" xfId="3" applyNumberFormat="1" applyFont="1" applyFill="1" applyBorder="1" applyAlignment="1" applyProtection="1">
      <alignment horizontal="center" vertical="center"/>
    </xf>
    <xf numFmtId="174" fontId="1" fillId="0" borderId="1" xfId="0" applyNumberFormat="1" applyFont="1" applyBorder="1" applyAlignment="1">
      <alignment horizontal="right"/>
    </xf>
    <xf numFmtId="168" fontId="2" fillId="10" borderId="1" xfId="0" applyNumberFormat="1" applyFont="1" applyFill="1" applyBorder="1"/>
    <xf numFmtId="4" fontId="11" fillId="16" borderId="0" xfId="0" applyNumberFormat="1" applyFont="1" applyFill="1" applyAlignment="1">
      <alignment vertical="center"/>
    </xf>
    <xf numFmtId="0" fontId="11" fillId="13" borderId="20" xfId="0" applyFont="1" applyFill="1" applyBorder="1" applyAlignment="1">
      <alignment vertical="center"/>
    </xf>
    <xf numFmtId="4" fontId="11" fillId="13" borderId="20" xfId="0" applyNumberFormat="1" applyFont="1" applyFill="1" applyBorder="1" applyAlignment="1">
      <alignment vertical="center"/>
    </xf>
    <xf numFmtId="174" fontId="1" fillId="0" borderId="1" xfId="0" applyNumberFormat="1" applyFont="1" applyBorder="1"/>
    <xf numFmtId="0" fontId="11" fillId="13" borderId="0" xfId="0" applyFont="1" applyFill="1" applyAlignment="1">
      <alignment vertical="center"/>
    </xf>
    <xf numFmtId="168" fontId="2" fillId="11" borderId="1" xfId="0" applyNumberFormat="1" applyFont="1" applyFill="1" applyBorder="1" applyAlignment="1">
      <alignment horizontal="right"/>
    </xf>
    <xf numFmtId="172" fontId="11" fillId="13" borderId="0" xfId="2" applyNumberFormat="1" applyFont="1" applyFill="1" applyBorder="1" applyAlignment="1" applyProtection="1">
      <alignment vertical="center"/>
    </xf>
    <xf numFmtId="172" fontId="11" fillId="13" borderId="0" xfId="0" applyNumberFormat="1" applyFont="1" applyFill="1" applyAlignment="1">
      <alignment vertical="center"/>
    </xf>
    <xf numFmtId="0" fontId="15" fillId="16" borderId="21" xfId="0" applyFont="1" applyFill="1" applyBorder="1" applyAlignment="1">
      <alignment horizontal="left" vertical="center"/>
    </xf>
    <xf numFmtId="4" fontId="15" fillId="16" borderId="22" xfId="0" applyNumberFormat="1" applyFont="1" applyFill="1" applyBorder="1" applyAlignment="1">
      <alignment horizontal="center" vertical="center"/>
    </xf>
    <xf numFmtId="168" fontId="10" fillId="11" borderId="1" xfId="0" applyNumberFormat="1" applyFont="1" applyFill="1" applyBorder="1" applyAlignment="1">
      <alignment horizontal="right"/>
    </xf>
    <xf numFmtId="0" fontId="15" fillId="14" borderId="0" xfId="0" applyFont="1" applyFill="1" applyAlignment="1">
      <alignment vertical="center"/>
    </xf>
    <xf numFmtId="0" fontId="14" fillId="15" borderId="13" xfId="0" applyFont="1" applyFill="1" applyBorder="1" applyAlignment="1">
      <alignment horizontal="left" vertical="center"/>
    </xf>
    <xf numFmtId="0" fontId="14" fillId="15" borderId="14" xfId="0" applyFont="1" applyFill="1" applyBorder="1" applyAlignment="1">
      <alignment horizontal="left" vertical="center"/>
    </xf>
    <xf numFmtId="0" fontId="11" fillId="18" borderId="0" xfId="0" applyFont="1" applyFill="1" applyAlignment="1">
      <alignment vertical="center"/>
    </xf>
    <xf numFmtId="0" fontId="15" fillId="16" borderId="15" xfId="0" applyFont="1" applyFill="1" applyBorder="1" applyAlignment="1">
      <alignment vertical="center"/>
    </xf>
    <xf numFmtId="4" fontId="15" fillId="16" borderId="23" xfId="5" applyNumberFormat="1" applyFont="1" applyFill="1" applyBorder="1" applyAlignment="1" applyProtection="1">
      <alignment vertical="center"/>
    </xf>
    <xf numFmtId="4" fontId="15" fillId="16" borderId="18" xfId="5" applyNumberFormat="1" applyFont="1" applyFill="1" applyBorder="1" applyAlignment="1" applyProtection="1">
      <alignment vertical="center"/>
    </xf>
    <xf numFmtId="4" fontId="15" fillId="16" borderId="19" xfId="5" applyNumberFormat="1" applyFont="1" applyFill="1" applyBorder="1" applyAlignment="1" applyProtection="1">
      <alignment vertical="center"/>
    </xf>
    <xf numFmtId="0" fontId="14" fillId="14" borderId="0" xfId="0" applyFont="1" applyFill="1" applyAlignment="1">
      <alignment vertical="center"/>
    </xf>
    <xf numFmtId="172" fontId="11" fillId="0" borderId="1" xfId="5" applyNumberFormat="1" applyFont="1" applyFill="1" applyBorder="1" applyAlignment="1" applyProtection="1">
      <alignment vertical="center"/>
    </xf>
    <xf numFmtId="3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14" borderId="2" xfId="0" applyFont="1" applyFill="1" applyBorder="1" applyAlignment="1">
      <alignment vertical="center"/>
    </xf>
    <xf numFmtId="4" fontId="11" fillId="0" borderId="2" xfId="0" applyNumberFormat="1" applyFont="1" applyBorder="1" applyAlignment="1">
      <alignment horizontal="center" vertical="center"/>
    </xf>
    <xf numFmtId="0" fontId="14" fillId="16" borderId="1" xfId="0" applyFont="1" applyFill="1" applyBorder="1" applyAlignment="1">
      <alignment vertical="center"/>
    </xf>
    <xf numFmtId="4" fontId="14" fillId="1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74" fontId="11" fillId="14" borderId="1" xfId="0" applyNumberFormat="1" applyFont="1" applyFill="1" applyBorder="1" applyAlignment="1">
      <alignment vertical="center"/>
    </xf>
    <xf numFmtId="174" fontId="18" fillId="0" borderId="1" xfId="0" applyNumberFormat="1" applyFont="1" applyBorder="1"/>
    <xf numFmtId="0" fontId="11" fillId="14" borderId="0" xfId="0" applyFont="1" applyFill="1" applyAlignment="1">
      <alignment horizontal="center" vertical="center"/>
    </xf>
    <xf numFmtId="174" fontId="11" fillId="14" borderId="0" xfId="0" applyNumberFormat="1" applyFont="1" applyFill="1" applyAlignment="1">
      <alignment vertical="center"/>
    </xf>
    <xf numFmtId="0" fontId="2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10" fontId="2" fillId="12" borderId="1" xfId="0" applyNumberFormat="1" applyFont="1" applyFill="1" applyBorder="1" applyAlignment="1">
      <alignment horizontal="center"/>
    </xf>
    <xf numFmtId="10" fontId="1" fillId="0" borderId="1" xfId="0" applyNumberFormat="1" applyFont="1" applyBorder="1"/>
    <xf numFmtId="9" fontId="1" fillId="0" borderId="1" xfId="0" applyNumberFormat="1" applyFont="1" applyBorder="1"/>
    <xf numFmtId="10" fontId="2" fillId="10" borderId="1" xfId="0" applyNumberFormat="1" applyFont="1" applyFill="1" applyBorder="1"/>
    <xf numFmtId="0" fontId="2" fillId="0" borderId="20" xfId="0" applyFont="1" applyBorder="1" applyAlignment="1">
      <alignment horizontal="center"/>
    </xf>
    <xf numFmtId="0" fontId="19" fillId="0" borderId="0" xfId="0" applyFont="1"/>
    <xf numFmtId="10" fontId="2" fillId="0" borderId="0" xfId="0" applyNumberFormat="1" applyFont="1"/>
    <xf numFmtId="0" fontId="20" fillId="0" borderId="20" xfId="0" applyFont="1" applyBorder="1" applyAlignment="1">
      <alignment horizontal="center"/>
    </xf>
    <xf numFmtId="0" fontId="20" fillId="0" borderId="0" xfId="0" applyFont="1" applyAlignment="1">
      <alignment horizontal="left"/>
    </xf>
    <xf numFmtId="10" fontId="20" fillId="0" borderId="0" xfId="0" applyNumberFormat="1" applyFont="1"/>
    <xf numFmtId="0" fontId="21" fillId="0" borderId="20" xfId="0" applyFont="1" applyBorder="1"/>
    <xf numFmtId="0" fontId="21" fillId="0" borderId="0" xfId="0" applyFont="1"/>
    <xf numFmtId="0" fontId="20" fillId="0" borderId="20" xfId="0" applyFont="1" applyBorder="1"/>
    <xf numFmtId="0" fontId="20" fillId="0" borderId="0" xfId="0" applyFont="1"/>
    <xf numFmtId="4" fontId="11" fillId="14" borderId="0" xfId="0" applyNumberFormat="1" applyFont="1" applyFill="1" applyAlignment="1">
      <alignment vertical="center"/>
    </xf>
    <xf numFmtId="176" fontId="11" fillId="14" borderId="0" xfId="3" applyNumberFormat="1" applyFont="1" applyFill="1" applyBorder="1" applyAlignment="1" applyProtection="1">
      <alignment vertical="center"/>
    </xf>
    <xf numFmtId="177" fontId="11" fillId="14" borderId="0" xfId="0" applyNumberFormat="1" applyFont="1" applyFill="1" applyAlignment="1">
      <alignment vertical="center"/>
    </xf>
    <xf numFmtId="178" fontId="11" fillId="14" borderId="0" xfId="0" applyNumberFormat="1" applyFont="1" applyFill="1" applyAlignment="1">
      <alignment vertical="center"/>
    </xf>
    <xf numFmtId="10" fontId="22" fillId="0" borderId="0" xfId="3" applyNumberFormat="1" applyFont="1" applyBorder="1" applyAlignment="1" applyProtection="1"/>
    <xf numFmtId="174" fontId="1" fillId="0" borderId="1" xfId="0" applyNumberFormat="1" applyFont="1" applyBorder="1" applyAlignment="1">
      <alignment horizontal="center"/>
    </xf>
    <xf numFmtId="168" fontId="2" fillId="0" borderId="23" xfId="0" applyNumberFormat="1" applyFont="1" applyBorder="1"/>
    <xf numFmtId="2" fontId="20" fillId="0" borderId="23" xfId="0" applyNumberFormat="1" applyFont="1" applyBorder="1"/>
    <xf numFmtId="0" fontId="21" fillId="0" borderId="23" xfId="0" applyFont="1" applyBorder="1"/>
    <xf numFmtId="0" fontId="20" fillId="0" borderId="23" xfId="0" applyFont="1" applyBorder="1"/>
    <xf numFmtId="2" fontId="1" fillId="0" borderId="1" xfId="0" applyNumberFormat="1" applyFont="1" applyBorder="1"/>
    <xf numFmtId="4" fontId="11" fillId="13" borderId="0" xfId="0" applyNumberFormat="1" applyFont="1" applyFill="1" applyAlignment="1">
      <alignment vertical="center"/>
    </xf>
    <xf numFmtId="179" fontId="11" fillId="16" borderId="0" xfId="1" applyNumberFormat="1" applyFont="1" applyFill="1" applyBorder="1" applyAlignment="1" applyProtection="1">
      <alignment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3" fillId="19" borderId="0" xfId="0" applyFont="1" applyFill="1"/>
    <xf numFmtId="0" fontId="0" fillId="19" borderId="0" xfId="0" applyFill="1"/>
    <xf numFmtId="2" fontId="2" fillId="0" borderId="23" xfId="0" applyNumberFormat="1" applyFont="1" applyBorder="1"/>
    <xf numFmtId="0" fontId="24" fillId="0" borderId="0" xfId="0" applyFont="1" applyAlignment="1">
      <alignment horizontal="center" vertical="center"/>
    </xf>
    <xf numFmtId="2" fontId="2" fillId="10" borderId="1" xfId="0" applyNumberFormat="1" applyFont="1" applyFill="1" applyBorder="1"/>
    <xf numFmtId="180" fontId="0" fillId="0" borderId="0" xfId="0" applyNumberFormat="1"/>
    <xf numFmtId="0" fontId="2" fillId="0" borderId="1" xfId="0" applyFont="1" applyBorder="1" applyAlignment="1">
      <alignment horizontal="center" vertical="top"/>
    </xf>
    <xf numFmtId="181" fontId="0" fillId="0" borderId="0" xfId="0" applyNumberFormat="1"/>
    <xf numFmtId="182" fontId="1" fillId="0" borderId="1" xfId="0" applyNumberFormat="1" applyFont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172" fontId="2" fillId="20" borderId="1" xfId="0" applyNumberFormat="1" applyFont="1" applyFill="1" applyBorder="1" applyAlignment="1">
      <alignment horizontal="center"/>
    </xf>
    <xf numFmtId="172" fontId="25" fillId="0" borderId="1" xfId="0" applyNumberFormat="1" applyFont="1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21" borderId="0" xfId="0" applyFont="1" applyFill="1" applyAlignment="1">
      <alignment vertical="center"/>
    </xf>
    <xf numFmtId="0" fontId="6" fillId="0" borderId="0" xfId="0" applyFont="1"/>
    <xf numFmtId="0" fontId="6" fillId="2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83" fontId="4" fillId="0" borderId="1" xfId="0" applyNumberFormat="1" applyFont="1" applyBorder="1"/>
    <xf numFmtId="179" fontId="0" fillId="0" borderId="0" xfId="0" applyNumberFormat="1"/>
    <xf numFmtId="0" fontId="6" fillId="0" borderId="0" xfId="0" applyFont="1" applyAlignment="1">
      <alignment horizontal="right"/>
    </xf>
    <xf numFmtId="184" fontId="6" fillId="0" borderId="0" xfId="0" applyNumberFormat="1" applyFont="1"/>
    <xf numFmtId="0" fontId="6" fillId="21" borderId="0" xfId="0" applyFont="1" applyFill="1"/>
    <xf numFmtId="183" fontId="1" fillId="0" borderId="1" xfId="0" applyNumberFormat="1" applyFont="1" applyBorder="1" applyAlignment="1">
      <alignment horizontal="justify" vertical="center" wrapText="1"/>
    </xf>
    <xf numFmtId="166" fontId="4" fillId="0" borderId="1" xfId="4" applyFont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166" fontId="4" fillId="23" borderId="1" xfId="4" applyFont="1" applyFill="1" applyBorder="1" applyAlignment="1" applyProtection="1">
      <alignment vertical="center"/>
    </xf>
    <xf numFmtId="184" fontId="1" fillId="23" borderId="1" xfId="0" applyNumberFormat="1" applyFont="1" applyFill="1" applyBorder="1" applyAlignment="1">
      <alignment vertical="center"/>
    </xf>
    <xf numFmtId="0" fontId="4" fillId="23" borderId="1" xfId="0" applyFont="1" applyFill="1" applyBorder="1" applyAlignment="1">
      <alignment vertical="center"/>
    </xf>
    <xf numFmtId="4" fontId="1" fillId="0" borderId="1" xfId="0" applyNumberFormat="1" applyFont="1" applyBorder="1"/>
    <xf numFmtId="4" fontId="1" fillId="23" borderId="1" xfId="0" applyNumberFormat="1" applyFont="1" applyFill="1" applyBorder="1"/>
    <xf numFmtId="2" fontId="1" fillId="23" borderId="1" xfId="0" applyNumberFormat="1" applyFont="1" applyFill="1" applyBorder="1"/>
    <xf numFmtId="0" fontId="6" fillId="23" borderId="1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1" fontId="6" fillId="0" borderId="1" xfId="0" applyNumberFormat="1" applyFont="1" applyBorder="1" applyAlignment="1">
      <alignment vertical="center"/>
    </xf>
    <xf numFmtId="172" fontId="0" fillId="0" borderId="0" xfId="0" applyNumberFormat="1"/>
    <xf numFmtId="49" fontId="2" fillId="24" borderId="1" xfId="0" applyNumberFormat="1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2" fontId="2" fillId="24" borderId="1" xfId="0" applyNumberFormat="1" applyFont="1" applyFill="1" applyBorder="1" applyAlignment="1">
      <alignment horizontal="center" vertical="center" wrapText="1"/>
    </xf>
    <xf numFmtId="185" fontId="2" fillId="24" borderId="1" xfId="0" applyNumberFormat="1" applyFont="1" applyFill="1" applyBorder="1" applyAlignment="1">
      <alignment horizontal="center" vertical="center" wrapText="1"/>
    </xf>
    <xf numFmtId="2" fontId="1" fillId="24" borderId="1" xfId="0" applyNumberFormat="1" applyFont="1" applyFill="1" applyBorder="1" applyAlignment="1">
      <alignment horizontal="center" vertical="center" wrapText="1"/>
    </xf>
    <xf numFmtId="49" fontId="26" fillId="23" borderId="1" xfId="0" applyNumberFormat="1" applyFont="1" applyFill="1" applyBorder="1" applyAlignment="1">
      <alignment horizontal="center" vertical="center" wrapText="1"/>
    </xf>
    <xf numFmtId="0" fontId="26" fillId="23" borderId="1" xfId="0" applyFont="1" applyFill="1" applyBorder="1" applyAlignment="1">
      <alignment horizontal="left" vertical="center" wrapText="1"/>
    </xf>
    <xf numFmtId="2" fontId="27" fillId="23" borderId="1" xfId="0" applyNumberFormat="1" applyFont="1" applyFill="1" applyBorder="1" applyAlignment="1">
      <alignment horizontal="center" vertical="center" wrapText="1"/>
    </xf>
    <xf numFmtId="185" fontId="26" fillId="23" borderId="1" xfId="0" applyNumberFormat="1" applyFont="1" applyFill="1" applyBorder="1" applyAlignment="1">
      <alignment horizontal="center" vertical="center" wrapText="1"/>
    </xf>
    <xf numFmtId="185" fontId="0" fillId="0" borderId="0" xfId="0" applyNumberFormat="1" applyAlignment="1">
      <alignment vertical="center"/>
    </xf>
    <xf numFmtId="2" fontId="28" fillId="3" borderId="1" xfId="0" applyNumberFormat="1" applyFont="1" applyFill="1" applyBorder="1" applyAlignment="1">
      <alignment horizontal="center" vertical="center" wrapText="1"/>
    </xf>
    <xf numFmtId="185" fontId="1" fillId="3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left" vertical="center" wrapText="1"/>
    </xf>
    <xf numFmtId="2" fontId="28" fillId="25" borderId="1" xfId="0" applyNumberFormat="1" applyFont="1" applyFill="1" applyBorder="1" applyAlignment="1">
      <alignment horizontal="center" vertical="center" wrapText="1"/>
    </xf>
    <xf numFmtId="2" fontId="1" fillId="12" borderId="1" xfId="0" applyNumberFormat="1" applyFont="1" applyFill="1" applyBorder="1" applyAlignment="1">
      <alignment horizontal="center" vertical="center" wrapText="1"/>
    </xf>
    <xf numFmtId="185" fontId="1" fillId="12" borderId="1" xfId="0" applyNumberFormat="1" applyFont="1" applyFill="1" applyBorder="1" applyAlignment="1">
      <alignment horizontal="center" vertical="center" wrapText="1"/>
    </xf>
    <xf numFmtId="49" fontId="1" fillId="24" borderId="1" xfId="0" applyNumberFormat="1" applyFont="1" applyFill="1" applyBorder="1" applyAlignment="1">
      <alignment horizontal="left" vertical="center" wrapText="1"/>
    </xf>
    <xf numFmtId="0" fontId="1" fillId="24" borderId="1" xfId="0" applyFont="1" applyFill="1" applyBorder="1" applyAlignment="1">
      <alignment horizontal="left" vertical="center" wrapText="1"/>
    </xf>
    <xf numFmtId="2" fontId="28" fillId="24" borderId="1" xfId="0" applyNumberFormat="1" applyFont="1" applyFill="1" applyBorder="1" applyAlignment="1">
      <alignment horizontal="center" vertical="center" wrapText="1"/>
    </xf>
    <xf numFmtId="185" fontId="1" fillId="24" borderId="1" xfId="0" applyNumberFormat="1" applyFont="1" applyFill="1" applyBorder="1" applyAlignment="1">
      <alignment horizontal="center" vertical="center" wrapText="1"/>
    </xf>
    <xf numFmtId="185" fontId="2" fillId="3" borderId="1" xfId="0" applyNumberFormat="1" applyFont="1" applyFill="1" applyBorder="1" applyAlignment="1">
      <alignment horizontal="center" vertical="center" wrapText="1"/>
    </xf>
    <xf numFmtId="183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49" fontId="1" fillId="24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49" fontId="1" fillId="12" borderId="26" xfId="0" applyNumberFormat="1" applyFont="1" applyFill="1" applyBorder="1" applyAlignment="1">
      <alignment horizontal="center" wrapText="1"/>
    </xf>
    <xf numFmtId="0" fontId="1" fillId="12" borderId="27" xfId="0" applyFont="1" applyFill="1" applyBorder="1" applyAlignment="1">
      <alignment wrapText="1"/>
    </xf>
    <xf numFmtId="2" fontId="28" fillId="25" borderId="27" xfId="0" applyNumberFormat="1" applyFont="1" applyFill="1" applyBorder="1" applyAlignment="1">
      <alignment horizontal="center" wrapText="1"/>
    </xf>
    <xf numFmtId="2" fontId="1" fillId="12" borderId="27" xfId="0" applyNumberFormat="1" applyFont="1" applyFill="1" applyBorder="1" applyAlignment="1">
      <alignment horizontal="center" wrapText="1"/>
    </xf>
    <xf numFmtId="185" fontId="1" fillId="12" borderId="27" xfId="0" applyNumberFormat="1" applyFont="1" applyFill="1" applyBorder="1" applyAlignment="1">
      <alignment horizontal="center" wrapText="1"/>
    </xf>
    <xf numFmtId="0" fontId="1" fillId="24" borderId="27" xfId="0" applyFont="1" applyFill="1" applyBorder="1" applyAlignment="1">
      <alignment wrapText="1"/>
    </xf>
    <xf numFmtId="2" fontId="28" fillId="24" borderId="27" xfId="0" applyNumberFormat="1" applyFont="1" applyFill="1" applyBorder="1" applyAlignment="1">
      <alignment horizontal="center" wrapText="1"/>
    </xf>
    <xf numFmtId="2" fontId="1" fillId="24" borderId="27" xfId="0" applyNumberFormat="1" applyFont="1" applyFill="1" applyBorder="1" applyAlignment="1">
      <alignment horizontal="center" wrapText="1"/>
    </xf>
    <xf numFmtId="185" fontId="1" fillId="24" borderId="27" xfId="0" applyNumberFormat="1" applyFont="1" applyFill="1" applyBorder="1" applyAlignment="1">
      <alignment horizontal="center" wrapText="1"/>
    </xf>
    <xf numFmtId="0" fontId="1" fillId="24" borderId="6" xfId="0" applyFont="1" applyFill="1" applyBorder="1" applyAlignment="1">
      <alignment horizontal="left" vertical="center" wrapText="1"/>
    </xf>
    <xf numFmtId="2" fontId="28" fillId="24" borderId="6" xfId="0" applyNumberFormat="1" applyFont="1" applyFill="1" applyBorder="1" applyAlignment="1">
      <alignment horizontal="center" vertical="center" wrapText="1"/>
    </xf>
    <xf numFmtId="2" fontId="1" fillId="24" borderId="6" xfId="0" applyNumberFormat="1" applyFont="1" applyFill="1" applyBorder="1" applyAlignment="1">
      <alignment horizontal="center" vertical="center" wrapText="1"/>
    </xf>
    <xf numFmtId="185" fontId="1" fillId="24" borderId="6" xfId="0" applyNumberFormat="1" applyFont="1" applyFill="1" applyBorder="1" applyAlignment="1">
      <alignment horizontal="center" vertical="center" wrapText="1"/>
    </xf>
    <xf numFmtId="2" fontId="28" fillId="3" borderId="6" xfId="0" applyNumberFormat="1" applyFont="1" applyFill="1" applyBorder="1" applyAlignment="1">
      <alignment horizontal="center" wrapText="1"/>
    </xf>
    <xf numFmtId="185" fontId="2" fillId="3" borderId="6" xfId="0" applyNumberFormat="1" applyFont="1" applyFill="1" applyBorder="1" applyAlignment="1">
      <alignment horizontal="center" wrapText="1"/>
    </xf>
    <xf numFmtId="2" fontId="29" fillId="23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left" vertical="center" wrapText="1"/>
    </xf>
    <xf numFmtId="0" fontId="2" fillId="24" borderId="1" xfId="0" applyFont="1" applyFill="1" applyBorder="1" applyAlignment="1">
      <alignment horizontal="left" vertical="center" wrapText="1"/>
    </xf>
    <xf numFmtId="2" fontId="30" fillId="2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31" fillId="23" borderId="1" xfId="0" applyNumberFormat="1" applyFont="1" applyFill="1" applyBorder="1" applyAlignment="1">
      <alignment horizontal="center" vertical="center" wrapText="1"/>
    </xf>
    <xf numFmtId="49" fontId="32" fillId="24" borderId="1" xfId="0" applyNumberFormat="1" applyFont="1" applyFill="1" applyBorder="1" applyAlignment="1">
      <alignment horizontal="center" vertical="center" wrapText="1"/>
    </xf>
    <xf numFmtId="0" fontId="32" fillId="24" borderId="1" xfId="0" applyFont="1" applyFill="1" applyBorder="1" applyAlignment="1">
      <alignment horizontal="left" vertical="center" wrapText="1"/>
    </xf>
    <xf numFmtId="0" fontId="29" fillId="23" borderId="0" xfId="0" applyFont="1" applyFill="1" applyAlignment="1">
      <alignment vertical="center" wrapText="1"/>
    </xf>
    <xf numFmtId="186" fontId="1" fillId="0" borderId="0" xfId="0" applyNumberFormat="1" applyFont="1" applyAlignment="1">
      <alignment horizontal="center"/>
    </xf>
    <xf numFmtId="49" fontId="29" fillId="23" borderId="1" xfId="0" applyNumberFormat="1" applyFont="1" applyFill="1" applyBorder="1" applyAlignment="1">
      <alignment horizontal="center" vertical="center" wrapText="1"/>
    </xf>
    <xf numFmtId="0" fontId="29" fillId="23" borderId="1" xfId="0" applyFont="1" applyFill="1" applyBorder="1" applyAlignment="1">
      <alignment vertical="center" wrapText="1"/>
    </xf>
    <xf numFmtId="49" fontId="1" fillId="24" borderId="2" xfId="0" applyNumberFormat="1" applyFont="1" applyFill="1" applyBorder="1" applyAlignment="1">
      <alignment horizontal="left" vertical="center" wrapText="1"/>
    </xf>
    <xf numFmtId="0" fontId="1" fillId="24" borderId="2" xfId="0" applyFont="1" applyFill="1" applyBorder="1" applyAlignment="1">
      <alignment horizontal="left" vertical="center" wrapText="1"/>
    </xf>
    <xf numFmtId="2" fontId="28" fillId="24" borderId="2" xfId="0" applyNumberFormat="1" applyFont="1" applyFill="1" applyBorder="1" applyAlignment="1">
      <alignment horizontal="center" vertical="center" wrapText="1"/>
    </xf>
    <xf numFmtId="2" fontId="1" fillId="24" borderId="2" xfId="0" applyNumberFormat="1" applyFont="1" applyFill="1" applyBorder="1" applyAlignment="1">
      <alignment horizontal="center" vertical="center" wrapText="1"/>
    </xf>
    <xf numFmtId="185" fontId="1" fillId="24" borderId="2" xfId="0" applyNumberFormat="1" applyFont="1" applyFill="1" applyBorder="1" applyAlignment="1">
      <alignment horizontal="center" vertical="center" wrapText="1"/>
    </xf>
    <xf numFmtId="185" fontId="2" fillId="26" borderId="1" xfId="0" applyNumberFormat="1" applyFont="1" applyFill="1" applyBorder="1" applyAlignment="1">
      <alignment horizontal="center"/>
    </xf>
    <xf numFmtId="2" fontId="6" fillId="24" borderId="1" xfId="0" applyNumberFormat="1" applyFont="1" applyFill="1" applyBorder="1" applyAlignment="1">
      <alignment vertical="center"/>
    </xf>
    <xf numFmtId="2" fontId="6" fillId="27" borderId="1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20" fillId="12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12" borderId="0" xfId="0" applyFont="1" applyFill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4" fillId="32" borderId="28" xfId="0" applyFont="1" applyFill="1" applyBorder="1" applyAlignment="1">
      <alignment horizontal="center" vertical="center" wrapText="1"/>
    </xf>
    <xf numFmtId="0" fontId="34" fillId="32" borderId="29" xfId="0" applyFont="1" applyFill="1" applyBorder="1" applyAlignment="1">
      <alignment horizontal="center" vertical="center" wrapText="1"/>
    </xf>
    <xf numFmtId="0" fontId="34" fillId="32" borderId="30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justify" vertical="center" wrapText="1"/>
    </xf>
    <xf numFmtId="182" fontId="33" fillId="0" borderId="12" xfId="0" applyNumberFormat="1" applyFont="1" applyBorder="1" applyAlignment="1">
      <alignment horizontal="center" vertical="center" wrapText="1"/>
    </xf>
    <xf numFmtId="182" fontId="33" fillId="0" borderId="31" xfId="0" applyNumberFormat="1" applyFont="1" applyBorder="1" applyAlignment="1">
      <alignment horizontal="center" vertical="center"/>
    </xf>
    <xf numFmtId="182" fontId="33" fillId="0" borderId="32" xfId="0" applyNumberFormat="1" applyFont="1" applyBorder="1" applyAlignment="1">
      <alignment horizontal="center" vertical="center" wrapText="1"/>
    </xf>
    <xf numFmtId="182" fontId="33" fillId="0" borderId="29" xfId="0" applyNumberFormat="1" applyFont="1" applyBorder="1" applyAlignment="1">
      <alignment horizontal="center" vertical="center"/>
    </xf>
    <xf numFmtId="0" fontId="33" fillId="0" borderId="29" xfId="0" applyFont="1" applyBorder="1" applyAlignment="1">
      <alignment vertical="center"/>
    </xf>
    <xf numFmtId="0" fontId="33" fillId="0" borderId="31" xfId="0" applyFont="1" applyBorder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4" fillId="32" borderId="1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right" vertical="center" wrapText="1"/>
    </xf>
    <xf numFmtId="182" fontId="34" fillId="0" borderId="12" xfId="0" applyNumberFormat="1" applyFont="1" applyBorder="1" applyAlignment="1">
      <alignment horizontal="center" vertical="center" wrapText="1"/>
    </xf>
    <xf numFmtId="182" fontId="34" fillId="0" borderId="32" xfId="0" applyNumberFormat="1" applyFont="1" applyBorder="1" applyAlignment="1">
      <alignment horizontal="center" vertical="center" wrapText="1"/>
    </xf>
    <xf numFmtId="182" fontId="5" fillId="0" borderId="2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1" borderId="0" xfId="0" applyFont="1" applyFill="1" applyAlignment="1">
      <alignment horizontal="left" vertical="center"/>
    </xf>
    <xf numFmtId="0" fontId="6" fillId="2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1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9" fontId="28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wrapText="1"/>
    </xf>
    <xf numFmtId="4" fontId="2" fillId="26" borderId="1" xfId="0" applyNumberFormat="1" applyFont="1" applyFill="1" applyBorder="1" applyAlignment="1">
      <alignment horizontal="right"/>
    </xf>
    <xf numFmtId="0" fontId="2" fillId="24" borderId="1" xfId="0" applyFont="1" applyFill="1" applyBorder="1" applyAlignment="1">
      <alignment horizontal="right" vertical="center"/>
    </xf>
    <xf numFmtId="0" fontId="2" fillId="27" borderId="1" xfId="0" applyFont="1" applyFill="1" applyBorder="1" applyAlignment="1">
      <alignment horizontal="right" vertical="center"/>
    </xf>
    <xf numFmtId="0" fontId="20" fillId="28" borderId="0" xfId="0" applyFont="1" applyFill="1" applyAlignment="1">
      <alignment horizontal="left" vertical="center"/>
    </xf>
    <xf numFmtId="0" fontId="6" fillId="30" borderId="0" xfId="0" applyFont="1" applyFill="1" applyAlignment="1">
      <alignment horizontal="left" vertical="center"/>
    </xf>
    <xf numFmtId="0" fontId="6" fillId="28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6" fontId="4" fillId="0" borderId="1" xfId="4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83" fontId="1" fillId="0" borderId="1" xfId="0" applyNumberFormat="1" applyFont="1" applyBorder="1" applyAlignment="1">
      <alignment horizontal="center" vertical="center" wrapText="1"/>
    </xf>
    <xf numFmtId="0" fontId="6" fillId="29" borderId="0" xfId="0" applyFont="1" applyFill="1" applyAlignment="1">
      <alignment horizontal="left" vertical="center" wrapText="1"/>
    </xf>
    <xf numFmtId="0" fontId="6" fillId="31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11" borderId="4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4" fillId="15" borderId="17" xfId="0" applyFont="1" applyFill="1" applyBorder="1" applyAlignment="1">
      <alignment horizontal="center" vertical="center"/>
    </xf>
    <xf numFmtId="0" fontId="14" fillId="15" borderId="24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1" fillId="13" borderId="0" xfId="0" applyFont="1" applyFill="1" applyAlignment="1">
      <alignment horizontal="center" vertical="center" textRotation="255"/>
    </xf>
    <xf numFmtId="172" fontId="11" fillId="0" borderId="1" xfId="5" applyNumberFormat="1" applyFont="1" applyFill="1" applyBorder="1" applyAlignment="1" applyProtection="1">
      <alignment horizontal="justify" vertical="center"/>
    </xf>
    <xf numFmtId="4" fontId="11" fillId="0" borderId="1" xfId="0" applyNumberFormat="1" applyFont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justify" vertical="center"/>
    </xf>
    <xf numFmtId="0" fontId="2" fillId="20" borderId="1" xfId="0" applyFont="1" applyFill="1" applyBorder="1" applyAlignment="1">
      <alignment horizontal="center" wrapText="1"/>
    </xf>
    <xf numFmtId="0" fontId="2" fillId="2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172" fontId="25" fillId="0" borderId="1" xfId="0" applyNumberFormat="1" applyFont="1" applyBorder="1" applyAlignment="1">
      <alignment horizontal="center"/>
    </xf>
    <xf numFmtId="0" fontId="1" fillId="0" borderId="23" xfId="0" applyFont="1" applyBorder="1"/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8" fillId="7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10" fontId="1" fillId="4" borderId="1" xfId="0" applyNumberFormat="1" applyFont="1" applyFill="1" applyBorder="1" applyAlignment="1">
      <alignment horizontal="center"/>
    </xf>
    <xf numFmtId="174" fontId="1" fillId="4" borderId="1" xfId="0" applyNumberFormat="1" applyFont="1" applyFill="1" applyBorder="1"/>
    <xf numFmtId="10" fontId="1" fillId="4" borderId="1" xfId="0" applyNumberFormat="1" applyFont="1" applyFill="1" applyBorder="1"/>
  </cellXfs>
  <cellStyles count="6">
    <cellStyle name="Moeda" xfId="2" builtinId="4"/>
    <cellStyle name="Moeda 2" xfId="5" xr:uid="{00000000-0005-0000-0000-000031000000}"/>
    <cellStyle name="Normal" xfId="0" builtinId="0"/>
    <cellStyle name="Porcentagem" xfId="3" builtinId="5"/>
    <cellStyle name="Texto Explicativo" xfId="4" builtinId="53"/>
    <cellStyle name="Vírgula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BFBFBF"/>
      <rgbColor rgb="00808080"/>
      <rgbColor rgb="008EAADB"/>
      <rgbColor rgb="00993366"/>
      <rgbColor rgb="00FFFFCC"/>
      <rgbColor rgb="00E2F0D9"/>
      <rgbColor rgb="00660066"/>
      <rgbColor rgb="00DBDBDB"/>
      <rgbColor rgb="000066CC"/>
      <rgbColor rgb="00BDD7EE"/>
      <rgbColor rgb="00000080"/>
      <rgbColor rgb="00FF00FF"/>
      <rgbColor rgb="00FBE5D5"/>
      <rgbColor rgb="0000FFFF"/>
      <rgbColor rgb="00800080"/>
      <rgbColor rgb="00CC0000"/>
      <rgbColor rgb="00008080"/>
      <rgbColor rgb="000000FF"/>
      <rgbColor rgb="0000B0F0"/>
      <rgbColor rgb="00E2EFD9"/>
      <rgbColor rgb="00CCFFCC"/>
      <rgbColor rgb="00FFE599"/>
      <rgbColor rgb="009DC3E6"/>
      <rgbColor rgb="00D9D9D9"/>
      <rgbColor rgb="00B4C7E7"/>
      <rgbColor rgb="00FFCCCC"/>
      <rgbColor rgb="003366FF"/>
      <rgbColor rgb="00FBE5D6"/>
      <rgbColor rgb="0092D050"/>
      <rgbColor rgb="00FFC000"/>
      <rgbColor rgb="00DDDDDD"/>
      <rgbColor rgb="00FF6600"/>
      <rgbColor rgb="00666699"/>
      <rgbColor rgb="009CC3E5"/>
      <rgbColor rgb="00003366"/>
      <rgbColor rgb="0034A853"/>
      <rgbColor rgb="00003300"/>
      <rgbColor rgb="00333300"/>
      <rgbColor rgb="00C9211E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5E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view="pageBreakPreview" zoomScaleNormal="100" workbookViewId="0">
      <selection activeCell="H3" sqref="H3"/>
    </sheetView>
  </sheetViews>
  <sheetFormatPr defaultColWidth="9" defaultRowHeight="15"/>
  <cols>
    <col min="1" max="1" width="6.140625" customWidth="1"/>
    <col min="2" max="2" width="50.28515625" customWidth="1"/>
    <col min="3" max="3" width="14.42578125" customWidth="1"/>
    <col min="4" max="4" width="13.140625" customWidth="1"/>
    <col min="5" max="5" width="16" customWidth="1"/>
    <col min="6" max="6" width="16.7109375" customWidth="1"/>
    <col min="7" max="7" width="16.7109375" style="301" customWidth="1"/>
    <col min="8" max="1026" width="14.42578125" customWidth="1"/>
  </cols>
  <sheetData>
    <row r="1" spans="1:7" ht="15" customHeight="1">
      <c r="A1" s="314" t="s">
        <v>0</v>
      </c>
      <c r="B1" s="314"/>
      <c r="C1" s="314"/>
      <c r="D1" s="314"/>
      <c r="E1" s="314"/>
      <c r="F1" s="314"/>
      <c r="G1" s="314"/>
    </row>
    <row r="2" spans="1:7" ht="24">
      <c r="A2" s="302" t="s">
        <v>1</v>
      </c>
      <c r="B2" s="302" t="s">
        <v>2</v>
      </c>
      <c r="C2" s="302" t="s">
        <v>3</v>
      </c>
      <c r="D2" s="302" t="s">
        <v>4</v>
      </c>
      <c r="E2" s="302" t="s">
        <v>5</v>
      </c>
      <c r="F2" s="303" t="s">
        <v>6</v>
      </c>
      <c r="G2" s="304" t="s">
        <v>7</v>
      </c>
    </row>
    <row r="3" spans="1:7" ht="45.75" customHeight="1">
      <c r="A3" s="305">
        <v>1</v>
      </c>
      <c r="B3" s="306" t="s">
        <v>8</v>
      </c>
      <c r="C3" s="305" t="s">
        <v>9</v>
      </c>
      <c r="D3" s="305">
        <v>38</v>
      </c>
      <c r="E3" s="307">
        <f>PRODUTIVIDADE!G109</f>
        <v>189423.78</v>
      </c>
      <c r="F3" s="307">
        <f>PRODUTIVIDADE!G110</f>
        <v>2273085.36</v>
      </c>
      <c r="G3" s="308">
        <f>F3*2</f>
        <v>4546170.72</v>
      </c>
    </row>
    <row r="4" spans="1:7" ht="35.25" customHeight="1">
      <c r="A4" s="305">
        <v>2</v>
      </c>
      <c r="B4" s="306" t="s">
        <v>10</v>
      </c>
      <c r="C4" s="305" t="s">
        <v>9</v>
      </c>
      <c r="D4" s="305">
        <v>3</v>
      </c>
      <c r="E4" s="307">
        <f>'OPERADOR DE ROÇADEIRA'!I140</f>
        <v>14426.604000000001</v>
      </c>
      <c r="F4" s="309">
        <f>E4*12</f>
        <v>173119.24800000002</v>
      </c>
      <c r="G4" s="310">
        <f>F4*2</f>
        <v>346238.49600000004</v>
      </c>
    </row>
    <row r="5" spans="1:7" ht="17.100000000000001" customHeight="1">
      <c r="A5" s="315" t="s">
        <v>11</v>
      </c>
      <c r="B5" s="315"/>
      <c r="C5" s="315"/>
      <c r="D5" s="315"/>
      <c r="E5" s="316">
        <f>SUM(E3,E4)</f>
        <v>203850.38399999999</v>
      </c>
      <c r="F5" s="317"/>
      <c r="G5" s="311"/>
    </row>
    <row r="6" spans="1:7" ht="18" customHeight="1">
      <c r="A6" s="315" t="s">
        <v>12</v>
      </c>
      <c r="B6" s="315"/>
      <c r="C6" s="315"/>
      <c r="D6" s="315"/>
      <c r="E6" s="316">
        <f>SUM(F3,F4)</f>
        <v>2446204.608</v>
      </c>
      <c r="F6" s="316"/>
      <c r="G6" s="312"/>
    </row>
    <row r="7" spans="1:7" ht="20.100000000000001" customHeight="1">
      <c r="A7" s="315" t="s">
        <v>13</v>
      </c>
      <c r="B7" s="315"/>
      <c r="C7" s="315"/>
      <c r="D7" s="315"/>
      <c r="E7" s="318">
        <f>SUM(G3,G4)</f>
        <v>4892409.216</v>
      </c>
      <c r="F7" s="319"/>
      <c r="G7" s="311"/>
    </row>
    <row r="8" spans="1:7" ht="21.75" customHeight="1">
      <c r="B8" s="313"/>
      <c r="G8" s="311"/>
    </row>
    <row r="9" spans="1:7" ht="44.25" customHeight="1">
      <c r="A9" s="320" t="s">
        <v>14</v>
      </c>
      <c r="B9" s="320"/>
      <c r="C9" s="320"/>
      <c r="D9" s="320"/>
      <c r="E9" s="320"/>
      <c r="F9" s="321"/>
    </row>
    <row r="11" spans="1:7" ht="57.75" customHeight="1"/>
  </sheetData>
  <mergeCells count="8">
    <mergeCell ref="A7:D7"/>
    <mergeCell ref="E7:F7"/>
    <mergeCell ref="A9:F9"/>
    <mergeCell ref="A1:G1"/>
    <mergeCell ref="A5:D5"/>
    <mergeCell ref="E5:F5"/>
    <mergeCell ref="A6:D6"/>
    <mergeCell ref="E6:F6"/>
  </mergeCells>
  <pageMargins left="0.23611111111111099" right="0.23611111111111099" top="1.05277777777778" bottom="1.05277777777778" header="0" footer="0"/>
  <pageSetup paperSize="9" firstPageNumber="0" orientation="landscape" useFirstPageNumber="1" horizontalDpi="300" verticalDpi="300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I351"/>
  <sheetViews>
    <sheetView view="pageBreakPreview" topLeftCell="A227" zoomScaleNormal="100" workbookViewId="0">
      <selection activeCell="H116" sqref="H116"/>
    </sheetView>
  </sheetViews>
  <sheetFormatPr defaultColWidth="9" defaultRowHeight="15"/>
  <cols>
    <col min="1" max="1" width="6.140625" style="208" customWidth="1"/>
    <col min="2" max="2" width="41.140625" style="208" customWidth="1"/>
    <col min="3" max="3" width="15.28515625" style="208" customWidth="1"/>
    <col min="4" max="4" width="22.85546875" style="208" customWidth="1"/>
    <col min="5" max="5" width="21" style="208" customWidth="1"/>
    <col min="6" max="6" width="23.85546875" style="208" customWidth="1"/>
    <col min="7" max="8" width="21" style="208" customWidth="1"/>
    <col min="9" max="9" width="16.28515625" style="208" customWidth="1"/>
    <col min="10" max="10" width="27.5703125" style="208" customWidth="1"/>
    <col min="11" max="11" width="22.7109375" style="208" customWidth="1"/>
    <col min="12" max="12" width="13.28515625" style="208" customWidth="1"/>
    <col min="13" max="255" width="10.28515625" style="208" customWidth="1"/>
    <col min="256" max="256" width="3.140625" style="208" customWidth="1"/>
    <col min="257" max="257" width="30.85546875" style="208" customWidth="1"/>
    <col min="258" max="258" width="36.42578125" style="208" customWidth="1"/>
    <col min="259" max="263" width="21" style="208" customWidth="1"/>
    <col min="264" max="264" width="14.140625" style="208" customWidth="1"/>
    <col min="265" max="265" width="16.28515625" style="208" customWidth="1"/>
    <col min="266" max="511" width="10.28515625" style="208" customWidth="1"/>
    <col min="512" max="512" width="3.140625" style="208" customWidth="1"/>
    <col min="513" max="513" width="30.85546875" style="208" customWidth="1"/>
    <col min="514" max="514" width="36.42578125" style="208" customWidth="1"/>
    <col min="515" max="519" width="21" style="208" customWidth="1"/>
    <col min="520" max="520" width="14.140625" style="208" customWidth="1"/>
    <col min="521" max="521" width="16.28515625" style="208" customWidth="1"/>
    <col min="522" max="767" width="10.28515625" style="208" customWidth="1"/>
    <col min="768" max="768" width="3.140625" style="208" customWidth="1"/>
    <col min="769" max="769" width="30.85546875" style="208" customWidth="1"/>
    <col min="770" max="770" width="36.42578125" style="208" customWidth="1"/>
    <col min="771" max="775" width="21" style="208" customWidth="1"/>
    <col min="776" max="776" width="14.140625" style="208" customWidth="1"/>
    <col min="777" max="777" width="16.28515625" style="208" customWidth="1"/>
    <col min="778" max="1023" width="10.28515625" style="208" customWidth="1"/>
    <col min="1024" max="1025" width="10.28515625" customWidth="1"/>
  </cols>
  <sheetData>
    <row r="2" spans="1:8" ht="12.75" customHeight="1">
      <c r="A2" s="322" t="s">
        <v>15</v>
      </c>
      <c r="B2" s="322"/>
      <c r="C2" s="322"/>
      <c r="D2" s="322"/>
      <c r="E2" s="322"/>
      <c r="F2" s="322"/>
      <c r="G2" s="210"/>
      <c r="H2" s="210"/>
    </row>
    <row r="4" spans="1:8">
      <c r="A4" s="323" t="s">
        <v>16</v>
      </c>
      <c r="B4" s="323"/>
      <c r="C4" s="211"/>
      <c r="D4" s="211"/>
      <c r="E4" s="211"/>
      <c r="F4" s="211"/>
    </row>
    <row r="5" spans="1:8">
      <c r="A5" s="15"/>
      <c r="B5" s="212"/>
      <c r="C5" s="15"/>
      <c r="D5" s="15"/>
      <c r="E5" s="15"/>
      <c r="F5" s="15"/>
      <c r="G5" s="15"/>
    </row>
    <row r="6" spans="1:8" ht="15" customHeight="1">
      <c r="A6" s="15"/>
      <c r="B6" s="212" t="s">
        <v>17</v>
      </c>
      <c r="C6" s="15"/>
      <c r="D6" s="15"/>
      <c r="E6" s="15"/>
      <c r="F6" s="15"/>
      <c r="G6" s="15"/>
    </row>
    <row r="7" spans="1:8" s="208" customFormat="1" ht="38.25" customHeight="1">
      <c r="A7" s="15"/>
      <c r="B7" s="213" t="s">
        <v>18</v>
      </c>
      <c r="C7" s="324" t="s">
        <v>19</v>
      </c>
      <c r="D7" s="324"/>
      <c r="E7" s="213" t="s">
        <v>20</v>
      </c>
      <c r="F7" s="213" t="s">
        <v>21</v>
      </c>
      <c r="G7" s="15"/>
    </row>
    <row r="8" spans="1:8" s="208" customFormat="1" ht="14.25" customHeight="1">
      <c r="A8" s="15"/>
      <c r="B8" s="341" t="s">
        <v>22</v>
      </c>
      <c r="C8" s="325">
        <v>1</v>
      </c>
      <c r="D8" s="325"/>
      <c r="E8" s="345">
        <f>ENCARREGADO!I138</f>
        <v>4723.8280000000004</v>
      </c>
      <c r="F8" s="345">
        <f>ROUND(E8/(30*1200),2)</f>
        <v>0.13</v>
      </c>
      <c r="G8" s="15"/>
    </row>
    <row r="9" spans="1:8" s="208" customFormat="1" ht="10.5" customHeight="1">
      <c r="A9" s="15"/>
      <c r="B9" s="341"/>
      <c r="C9" s="325" t="s">
        <v>23</v>
      </c>
      <c r="D9" s="325"/>
      <c r="E9" s="345"/>
      <c r="F9" s="345"/>
      <c r="G9" s="15"/>
    </row>
    <row r="10" spans="1:8" s="208" customFormat="1">
      <c r="A10" s="15"/>
      <c r="B10" s="214" t="s">
        <v>24</v>
      </c>
      <c r="C10" s="63">
        <v>1200</v>
      </c>
      <c r="D10" s="63">
        <f>1/1200</f>
        <v>8.3333333333333295E-4</v>
      </c>
      <c r="E10" s="214">
        <f>'SERV. INTERNO - PISOS '!I139</f>
        <v>4517.973</v>
      </c>
      <c r="F10" s="215">
        <f>ROUND(D10*E10,2)</f>
        <v>3.76</v>
      </c>
      <c r="G10" s="15"/>
      <c r="H10" s="216"/>
    </row>
    <row r="11" spans="1:8" s="208" customFormat="1">
      <c r="A11" s="15"/>
      <c r="B11" s="15"/>
      <c r="C11" s="15"/>
      <c r="D11" s="15"/>
      <c r="E11" s="15"/>
      <c r="F11" s="15"/>
      <c r="G11" s="15"/>
    </row>
    <row r="12" spans="1:8" s="208" customFormat="1">
      <c r="A12" s="15"/>
      <c r="B12" s="212" t="s">
        <v>25</v>
      </c>
      <c r="C12" s="15"/>
      <c r="D12" s="15"/>
      <c r="E12" s="15"/>
      <c r="F12" s="15"/>
      <c r="G12" s="15"/>
    </row>
    <row r="13" spans="1:8" s="208" customFormat="1" ht="38.25" customHeight="1">
      <c r="A13" s="15"/>
      <c r="B13" s="213" t="s">
        <v>18</v>
      </c>
      <c r="C13" s="324" t="s">
        <v>19</v>
      </c>
      <c r="D13" s="324"/>
      <c r="E13" s="213" t="s">
        <v>20</v>
      </c>
      <c r="F13" s="213" t="s">
        <v>21</v>
      </c>
      <c r="G13" s="15"/>
    </row>
    <row r="14" spans="1:8" s="208" customFormat="1" ht="14.25" customHeight="1">
      <c r="A14" s="15"/>
      <c r="B14" s="341" t="s">
        <v>22</v>
      </c>
      <c r="C14" s="325">
        <v>1</v>
      </c>
      <c r="D14" s="325"/>
      <c r="E14" s="345">
        <f>ENCARREGADO!I138</f>
        <v>4723.8280000000004</v>
      </c>
      <c r="F14" s="345">
        <f>ROUND(E14/(30*450),2)</f>
        <v>0.35</v>
      </c>
      <c r="G14" s="15"/>
    </row>
    <row r="15" spans="1:8" s="208" customFormat="1" ht="14.25" customHeight="1">
      <c r="A15" s="15"/>
      <c r="B15" s="341"/>
      <c r="C15" s="325" t="s">
        <v>26</v>
      </c>
      <c r="D15" s="325"/>
      <c r="E15" s="345"/>
      <c r="F15" s="345"/>
      <c r="G15" s="15"/>
    </row>
    <row r="16" spans="1:8" s="208" customFormat="1">
      <c r="A16" s="15"/>
      <c r="B16" s="214" t="s">
        <v>27</v>
      </c>
      <c r="C16" s="63">
        <v>450</v>
      </c>
      <c r="D16" s="63">
        <f>1/450</f>
        <v>2.2222222222222201E-3</v>
      </c>
      <c r="E16" s="214">
        <f>'SERV. INTERNO LABORATORIOS 20%'!I139</f>
        <v>5121.0730000000003</v>
      </c>
      <c r="F16" s="215">
        <f>ROUND(D16*E16,2)</f>
        <v>11.38</v>
      </c>
      <c r="G16" s="15"/>
    </row>
    <row r="17" spans="1:7" s="208" customFormat="1">
      <c r="A17" s="15"/>
      <c r="B17" s="15"/>
      <c r="C17" s="15"/>
      <c r="D17" s="15"/>
      <c r="E17" s="15"/>
      <c r="F17" s="15"/>
      <c r="G17" s="15"/>
    </row>
    <row r="18" spans="1:7" s="208" customFormat="1">
      <c r="A18" s="15"/>
      <c r="B18" s="212" t="s">
        <v>28</v>
      </c>
      <c r="C18" s="15"/>
      <c r="D18" s="15"/>
      <c r="E18" s="15"/>
      <c r="F18" s="15"/>
      <c r="G18" s="15"/>
    </row>
    <row r="19" spans="1:7" s="208" customFormat="1" ht="38.25" customHeight="1">
      <c r="A19" s="15"/>
      <c r="B19" s="213" t="s">
        <v>18</v>
      </c>
      <c r="C19" s="324" t="s">
        <v>19</v>
      </c>
      <c r="D19" s="324"/>
      <c r="E19" s="213" t="s">
        <v>20</v>
      </c>
      <c r="F19" s="213" t="s">
        <v>21</v>
      </c>
      <c r="G19" s="15"/>
    </row>
    <row r="20" spans="1:7" s="208" customFormat="1" ht="14.25" customHeight="1">
      <c r="A20" s="15"/>
      <c r="B20" s="341" t="s">
        <v>22</v>
      </c>
      <c r="C20" s="325">
        <v>1</v>
      </c>
      <c r="D20" s="325"/>
      <c r="E20" s="345">
        <f>ENCARREGADO!I138</f>
        <v>4723.8280000000004</v>
      </c>
      <c r="F20" s="345">
        <f>ROUND(E20/(30*1500),2)</f>
        <v>0.1</v>
      </c>
      <c r="G20" s="15"/>
    </row>
    <row r="21" spans="1:7" s="208" customFormat="1" ht="14.25" customHeight="1">
      <c r="A21" s="15"/>
      <c r="B21" s="341"/>
      <c r="C21" s="325" t="s">
        <v>29</v>
      </c>
      <c r="D21" s="325"/>
      <c r="E21" s="345"/>
      <c r="F21" s="345"/>
      <c r="G21" s="15"/>
    </row>
    <row r="22" spans="1:7" s="208" customFormat="1">
      <c r="A22" s="15"/>
      <c r="B22" s="214" t="s">
        <v>24</v>
      </c>
      <c r="C22" s="63">
        <v>1500</v>
      </c>
      <c r="D22" s="63">
        <f>1/1500</f>
        <v>6.6666666666666697E-4</v>
      </c>
      <c r="E22" s="214">
        <f>'SERV. INTERNO - ALMOXARIFADO'!I139</f>
        <v>4517.973</v>
      </c>
      <c r="F22" s="215">
        <f>ROUND(D22*E22,2)</f>
        <v>3.01</v>
      </c>
      <c r="G22" s="15"/>
    </row>
    <row r="23" spans="1:7" s="208" customFormat="1">
      <c r="A23" s="15"/>
      <c r="B23" s="15"/>
      <c r="C23" s="15"/>
      <c r="D23" s="15"/>
      <c r="E23" s="15"/>
      <c r="F23" s="15"/>
      <c r="G23" s="15"/>
    </row>
    <row r="24" spans="1:7" s="208" customFormat="1">
      <c r="A24" s="15"/>
      <c r="B24" s="212" t="s">
        <v>30</v>
      </c>
      <c r="C24" s="15"/>
      <c r="D24" s="15"/>
      <c r="E24" s="15"/>
      <c r="F24" s="15"/>
      <c r="G24" s="15"/>
    </row>
    <row r="25" spans="1:7" s="208" customFormat="1" ht="38.25" customHeight="1">
      <c r="A25" s="15"/>
      <c r="B25" s="213" t="s">
        <v>18</v>
      </c>
      <c r="C25" s="324" t="s">
        <v>19</v>
      </c>
      <c r="D25" s="324"/>
      <c r="E25" s="213" t="s">
        <v>20</v>
      </c>
      <c r="F25" s="213" t="s">
        <v>21</v>
      </c>
      <c r="G25" s="15"/>
    </row>
    <row r="26" spans="1:7" s="208" customFormat="1" ht="14.25" customHeight="1">
      <c r="A26" s="15"/>
      <c r="B26" s="341" t="s">
        <v>22</v>
      </c>
      <c r="C26" s="325">
        <v>1</v>
      </c>
      <c r="D26" s="325"/>
      <c r="E26" s="345">
        <f>ENCARREGADO!I138</f>
        <v>4723.8280000000004</v>
      </c>
      <c r="F26" s="345">
        <f>ROUND(E26/(30*1500),2)</f>
        <v>0.1</v>
      </c>
      <c r="G26" s="15"/>
    </row>
    <row r="27" spans="1:7" s="208" customFormat="1" ht="14.25" customHeight="1">
      <c r="A27" s="15"/>
      <c r="B27" s="341"/>
      <c r="C27" s="325" t="s">
        <v>29</v>
      </c>
      <c r="D27" s="325"/>
      <c r="E27" s="345"/>
      <c r="F27" s="345"/>
      <c r="G27" s="15"/>
    </row>
    <row r="28" spans="1:7" s="208" customFormat="1">
      <c r="A28" s="15"/>
      <c r="B28" s="214" t="s">
        <v>27</v>
      </c>
      <c r="C28" s="63">
        <v>1500</v>
      </c>
      <c r="D28" s="63">
        <f>1/1500</f>
        <v>6.6666666666666697E-4</v>
      </c>
      <c r="E28" s="214">
        <f>'SERV. INTERNO ALMOXARIFADO 20%'!I139</f>
        <v>5121.0730000000003</v>
      </c>
      <c r="F28" s="215">
        <f>ROUND(D28*E28,2)</f>
        <v>3.41</v>
      </c>
      <c r="G28" s="15"/>
    </row>
    <row r="29" spans="1:7" s="208" customFormat="1">
      <c r="A29" s="15"/>
      <c r="B29" s="15"/>
      <c r="C29" s="15"/>
      <c r="D29" s="15"/>
      <c r="E29" s="15"/>
      <c r="F29" s="15"/>
      <c r="G29" s="15"/>
    </row>
    <row r="30" spans="1:7" s="208" customFormat="1">
      <c r="A30" s="15"/>
      <c r="B30" s="212" t="s">
        <v>31</v>
      </c>
      <c r="C30" s="15"/>
      <c r="D30" s="15"/>
      <c r="E30" s="15"/>
      <c r="F30" s="15"/>
      <c r="G30" s="15"/>
    </row>
    <row r="31" spans="1:7" s="208" customFormat="1" ht="38.25" customHeight="1">
      <c r="A31" s="15"/>
      <c r="B31" s="213" t="s">
        <v>18</v>
      </c>
      <c r="C31" s="324" t="s">
        <v>19</v>
      </c>
      <c r="D31" s="324"/>
      <c r="E31" s="213" t="s">
        <v>20</v>
      </c>
      <c r="F31" s="213" t="s">
        <v>21</v>
      </c>
      <c r="G31" s="15"/>
    </row>
    <row r="32" spans="1:7" s="208" customFormat="1" ht="14.25" customHeight="1">
      <c r="A32" s="15"/>
      <c r="B32" s="341" t="s">
        <v>22</v>
      </c>
      <c r="C32" s="325">
        <v>1</v>
      </c>
      <c r="D32" s="325"/>
      <c r="E32" s="345">
        <f>ENCARREGADO!I138</f>
        <v>4723.8280000000004</v>
      </c>
      <c r="F32" s="345">
        <f>ROUND(E32/(30*1500),2)</f>
        <v>0.1</v>
      </c>
      <c r="G32" s="15"/>
    </row>
    <row r="33" spans="1:7" s="208" customFormat="1" ht="14.25" customHeight="1">
      <c r="A33" s="15"/>
      <c r="B33" s="341"/>
      <c r="C33" s="325" t="s">
        <v>29</v>
      </c>
      <c r="D33" s="325"/>
      <c r="E33" s="345"/>
      <c r="F33" s="345"/>
      <c r="G33" s="15"/>
    </row>
    <row r="34" spans="1:7" s="208" customFormat="1">
      <c r="A34" s="15"/>
      <c r="B34" s="214" t="s">
        <v>24</v>
      </c>
      <c r="C34" s="63">
        <v>1500</v>
      </c>
      <c r="D34" s="63">
        <f>1/1500</f>
        <v>6.6666666666666697E-4</v>
      </c>
      <c r="E34" s="214">
        <f>'SERV. INTERNO - SAGUÃO, HALL'!I139</f>
        <v>4517.973</v>
      </c>
      <c r="F34" s="215">
        <f>ROUND(D34*E34,2)</f>
        <v>3.01</v>
      </c>
      <c r="G34" s="15"/>
    </row>
    <row r="35" spans="1:7" s="208" customFormat="1">
      <c r="A35" s="15"/>
      <c r="B35" s="15"/>
      <c r="C35" s="15"/>
      <c r="D35" s="15"/>
      <c r="E35" s="15"/>
      <c r="F35" s="15"/>
      <c r="G35" s="15"/>
    </row>
    <row r="36" spans="1:7" s="208" customFormat="1">
      <c r="A36" s="15"/>
      <c r="B36" s="212" t="s">
        <v>32</v>
      </c>
      <c r="C36" s="15"/>
      <c r="D36" s="15"/>
      <c r="E36" s="15"/>
      <c r="F36" s="15"/>
      <c r="G36" s="15"/>
    </row>
    <row r="37" spans="1:7" s="208" customFormat="1" ht="38.25" customHeight="1">
      <c r="A37" s="15"/>
      <c r="B37" s="213" t="s">
        <v>18</v>
      </c>
      <c r="C37" s="324" t="s">
        <v>19</v>
      </c>
      <c r="D37" s="324"/>
      <c r="E37" s="213" t="s">
        <v>20</v>
      </c>
      <c r="F37" s="213" t="s">
        <v>21</v>
      </c>
      <c r="G37" s="15"/>
    </row>
    <row r="38" spans="1:7" s="208" customFormat="1" ht="14.25" customHeight="1">
      <c r="A38" s="15"/>
      <c r="B38" s="341" t="s">
        <v>22</v>
      </c>
      <c r="C38" s="325">
        <v>1</v>
      </c>
      <c r="D38" s="325"/>
      <c r="E38" s="345">
        <f>ENCARREGADO!I138</f>
        <v>4723.8280000000004</v>
      </c>
      <c r="F38" s="345">
        <f>ROUND(E38/(30*200),2)</f>
        <v>0.79</v>
      </c>
      <c r="G38" s="15"/>
    </row>
    <row r="39" spans="1:7" s="208" customFormat="1" ht="14.25" customHeight="1">
      <c r="A39" s="15"/>
      <c r="B39" s="341"/>
      <c r="C39" s="325" t="s">
        <v>33</v>
      </c>
      <c r="D39" s="325"/>
      <c r="E39" s="345"/>
      <c r="F39" s="345"/>
      <c r="G39" s="15"/>
    </row>
    <row r="40" spans="1:7" s="208" customFormat="1">
      <c r="A40" s="15"/>
      <c r="B40" s="214" t="s">
        <v>34</v>
      </c>
      <c r="C40" s="63">
        <v>200</v>
      </c>
      <c r="D40" s="63">
        <f>1/200</f>
        <v>5.0000000000000001E-3</v>
      </c>
      <c r="E40" s="214">
        <f>'SERV. INTERNO BANHEIROS 40%'!I139</f>
        <v>5724.2329999999984</v>
      </c>
      <c r="F40" s="215">
        <f>ROUND(D40*E40,2)</f>
        <v>28.62</v>
      </c>
      <c r="G40" s="15"/>
    </row>
    <row r="41" spans="1:7" s="208" customFormat="1">
      <c r="A41" s="15"/>
      <c r="B41" s="15"/>
      <c r="C41" s="15"/>
      <c r="D41" s="15"/>
      <c r="E41" s="15" t="s">
        <v>35</v>
      </c>
      <c r="F41" s="15"/>
      <c r="G41" s="15"/>
    </row>
    <row r="42" spans="1:7" s="208" customFormat="1">
      <c r="A42" s="15"/>
      <c r="B42" s="212" t="s">
        <v>36</v>
      </c>
      <c r="C42" s="15"/>
      <c r="D42" s="15"/>
      <c r="E42" s="15"/>
      <c r="F42" s="15"/>
      <c r="G42" s="15"/>
    </row>
    <row r="43" spans="1:7" s="208" customFormat="1" ht="38.25" customHeight="1">
      <c r="A43" s="15"/>
      <c r="B43" s="213" t="s">
        <v>18</v>
      </c>
      <c r="C43" s="324" t="s">
        <v>19</v>
      </c>
      <c r="D43" s="324"/>
      <c r="E43" s="213" t="s">
        <v>20</v>
      </c>
      <c r="F43" s="213" t="s">
        <v>21</v>
      </c>
      <c r="G43" s="15"/>
    </row>
    <row r="44" spans="1:7" s="208" customFormat="1" ht="14.25" customHeight="1">
      <c r="A44" s="15"/>
      <c r="B44" s="341" t="s">
        <v>22</v>
      </c>
      <c r="C44" s="325">
        <v>1</v>
      </c>
      <c r="D44" s="325"/>
      <c r="E44" s="345">
        <f>ENCARREGADO!I138</f>
        <v>4723.8280000000004</v>
      </c>
      <c r="F44" s="345">
        <f>ROUND(E44/(30*1200),2)</f>
        <v>0.13</v>
      </c>
      <c r="G44" s="15"/>
    </row>
    <row r="45" spans="1:7" s="208" customFormat="1" ht="14.25" customHeight="1">
      <c r="A45" s="15"/>
      <c r="B45" s="341"/>
      <c r="C45" s="325" t="s">
        <v>37</v>
      </c>
      <c r="D45" s="325"/>
      <c r="E45" s="345"/>
      <c r="F45" s="345"/>
      <c r="G45" s="15"/>
    </row>
    <row r="46" spans="1:7" s="208" customFormat="1">
      <c r="A46" s="15"/>
      <c r="B46" s="214" t="s">
        <v>24</v>
      </c>
      <c r="C46" s="63">
        <v>1800</v>
      </c>
      <c r="D46" s="63">
        <f>1/1800</f>
        <v>5.5555555555555599E-4</v>
      </c>
      <c r="E46" s="214">
        <f>'SERV. EXTERNO - PISOS'!I139</f>
        <v>3938.9279999999999</v>
      </c>
      <c r="F46" s="215">
        <f>ROUND(D46*E46,2)</f>
        <v>2.19</v>
      </c>
      <c r="G46" s="15"/>
    </row>
    <row r="47" spans="1:7" s="208" customFormat="1">
      <c r="A47" s="15"/>
      <c r="B47" s="15"/>
      <c r="C47" s="15"/>
      <c r="D47" s="15"/>
      <c r="E47" s="15"/>
      <c r="F47" s="15"/>
      <c r="G47" s="15"/>
    </row>
    <row r="48" spans="1:7" s="208" customFormat="1">
      <c r="A48" s="15"/>
      <c r="B48" s="212" t="s">
        <v>38</v>
      </c>
      <c r="C48" s="15"/>
      <c r="D48" s="15"/>
      <c r="E48" s="15"/>
      <c r="F48" s="15"/>
      <c r="G48" s="15"/>
    </row>
    <row r="49" spans="1:7" s="208" customFormat="1" ht="38.25" customHeight="1">
      <c r="A49" s="15"/>
      <c r="B49" s="213" t="s">
        <v>18</v>
      </c>
      <c r="C49" s="324" t="s">
        <v>19</v>
      </c>
      <c r="D49" s="324"/>
      <c r="E49" s="213" t="s">
        <v>20</v>
      </c>
      <c r="F49" s="213" t="s">
        <v>21</v>
      </c>
      <c r="G49" s="15"/>
    </row>
    <row r="50" spans="1:7" s="208" customFormat="1" ht="14.25" customHeight="1">
      <c r="A50" s="15"/>
      <c r="B50" s="341" t="s">
        <v>22</v>
      </c>
      <c r="C50" s="325">
        <v>1</v>
      </c>
      <c r="D50" s="325"/>
      <c r="E50" s="345">
        <f>ENCARREGADO!I138</f>
        <v>4723.8280000000004</v>
      </c>
      <c r="F50" s="345">
        <f>ROUND(E50/(30*6000),2)</f>
        <v>0.03</v>
      </c>
      <c r="G50" s="15"/>
    </row>
    <row r="51" spans="1:7" s="208" customFormat="1" ht="14.25" customHeight="1">
      <c r="A51" s="15"/>
      <c r="B51" s="341"/>
      <c r="C51" s="325" t="s">
        <v>39</v>
      </c>
      <c r="D51" s="325"/>
      <c r="E51" s="345"/>
      <c r="F51" s="345"/>
      <c r="G51" s="15"/>
    </row>
    <row r="52" spans="1:7" s="208" customFormat="1">
      <c r="A52" s="15"/>
      <c r="B52" s="214" t="s">
        <v>24</v>
      </c>
      <c r="C52" s="63">
        <v>6000</v>
      </c>
      <c r="D52" s="63">
        <f>1/6000</f>
        <v>1.6666666666666701E-4</v>
      </c>
      <c r="E52" s="214">
        <f>'SERV. EXTERNO - VARRIÇÃO'!I139</f>
        <v>3938.9279999999999</v>
      </c>
      <c r="F52" s="215">
        <f>ROUND(D52*E52,2)</f>
        <v>0.66</v>
      </c>
      <c r="G52" s="15"/>
    </row>
    <row r="53" spans="1:7" s="208" customFormat="1">
      <c r="A53" s="15"/>
      <c r="B53" s="15"/>
      <c r="C53" s="15"/>
      <c r="D53" s="15"/>
      <c r="E53" s="15"/>
      <c r="F53" s="15"/>
      <c r="G53" s="15"/>
    </row>
    <row r="54" spans="1:7" s="208" customFormat="1">
      <c r="A54" s="15"/>
      <c r="B54" s="212" t="s">
        <v>40</v>
      </c>
      <c r="C54" s="15"/>
      <c r="D54" s="15"/>
      <c r="E54" s="15"/>
      <c r="F54" s="15"/>
      <c r="G54" s="15"/>
    </row>
    <row r="55" spans="1:7" s="208" customFormat="1" ht="38.25" customHeight="1">
      <c r="A55" s="15"/>
      <c r="B55" s="213" t="s">
        <v>18</v>
      </c>
      <c r="C55" s="324" t="s">
        <v>19</v>
      </c>
      <c r="D55" s="324"/>
      <c r="E55" s="213" t="s">
        <v>20</v>
      </c>
      <c r="F55" s="213" t="s">
        <v>21</v>
      </c>
      <c r="G55" s="15"/>
    </row>
    <row r="56" spans="1:7" s="208" customFormat="1" ht="14.25" customHeight="1">
      <c r="A56" s="15"/>
      <c r="B56" s="341" t="s">
        <v>22</v>
      </c>
      <c r="C56" s="325">
        <v>1</v>
      </c>
      <c r="D56" s="325"/>
      <c r="E56" s="345">
        <f>ENCARREGADO!I138</f>
        <v>4723.8280000000004</v>
      </c>
      <c r="F56" s="345">
        <f>ROUND(E56/(30*1800),2)</f>
        <v>0.09</v>
      </c>
      <c r="G56" s="15"/>
    </row>
    <row r="57" spans="1:7" s="208" customFormat="1" ht="14.25" customHeight="1">
      <c r="A57" s="15"/>
      <c r="B57" s="341"/>
      <c r="C57" s="325" t="s">
        <v>37</v>
      </c>
      <c r="D57" s="325"/>
      <c r="E57" s="345"/>
      <c r="F57" s="345"/>
      <c r="G57" s="15"/>
    </row>
    <row r="58" spans="1:7" s="208" customFormat="1">
      <c r="A58" s="15"/>
      <c r="B58" s="214" t="s">
        <v>24</v>
      </c>
      <c r="C58" s="63">
        <v>1800</v>
      </c>
      <c r="D58" s="63">
        <f>1/1800</f>
        <v>5.5555555555555599E-4</v>
      </c>
      <c r="E58" s="214">
        <f>'SERV. EXTERNO PÁTIOS ALTA FREQ.'!I139</f>
        <v>3938.9279999999999</v>
      </c>
      <c r="F58" s="215">
        <f>ROUND(D58*E58,2)</f>
        <v>2.19</v>
      </c>
      <c r="G58" s="15"/>
    </row>
    <row r="59" spans="1:7" s="208" customFormat="1">
      <c r="A59" s="15"/>
      <c r="B59" s="15"/>
      <c r="C59" s="15"/>
      <c r="D59" s="15"/>
      <c r="E59" s="15"/>
      <c r="F59" s="15"/>
      <c r="G59" s="15"/>
    </row>
    <row r="60" spans="1:7" s="208" customFormat="1">
      <c r="A60" s="15"/>
      <c r="B60" s="212" t="s">
        <v>41</v>
      </c>
      <c r="C60" s="15"/>
      <c r="D60" s="15"/>
      <c r="E60" s="15"/>
      <c r="F60" s="15"/>
      <c r="G60" s="15"/>
    </row>
    <row r="61" spans="1:7" s="208" customFormat="1" ht="38.25" customHeight="1">
      <c r="A61" s="15"/>
      <c r="B61" s="213" t="s">
        <v>18</v>
      </c>
      <c r="C61" s="324" t="s">
        <v>19</v>
      </c>
      <c r="D61" s="324"/>
      <c r="E61" s="213" t="s">
        <v>20</v>
      </c>
      <c r="F61" s="213" t="s">
        <v>21</v>
      </c>
      <c r="G61" s="15"/>
    </row>
    <row r="62" spans="1:7" s="208" customFormat="1" ht="14.25" customHeight="1">
      <c r="A62" s="15"/>
      <c r="B62" s="341" t="s">
        <v>22</v>
      </c>
      <c r="C62" s="325">
        <v>1</v>
      </c>
      <c r="D62" s="325"/>
      <c r="E62" s="345">
        <f>ENCARREGADO!I138</f>
        <v>4723.8280000000004</v>
      </c>
      <c r="F62" s="345">
        <f>ROUND(E62/(30*2700),2)</f>
        <v>0.06</v>
      </c>
      <c r="G62" s="15"/>
    </row>
    <row r="63" spans="1:7" s="208" customFormat="1" ht="14.25" customHeight="1">
      <c r="A63" s="15"/>
      <c r="B63" s="341"/>
      <c r="C63" s="325" t="s">
        <v>42</v>
      </c>
      <c r="D63" s="325"/>
      <c r="E63" s="345"/>
      <c r="F63" s="345"/>
      <c r="G63" s="15"/>
    </row>
    <row r="64" spans="1:7" s="208" customFormat="1">
      <c r="A64" s="15"/>
      <c r="B64" s="214" t="s">
        <v>24</v>
      </c>
      <c r="C64" s="63">
        <v>2700</v>
      </c>
      <c r="D64" s="63">
        <f>1/2700</f>
        <v>3.7037037037037003E-4</v>
      </c>
      <c r="E64" s="214">
        <f>'SERV. EXTERNO PÁTIOS BAIXA FREQ'!I139</f>
        <v>3938.9279999999999</v>
      </c>
      <c r="F64" s="215">
        <f>ROUND(D64*E64,2)</f>
        <v>1.46</v>
      </c>
      <c r="G64" s="15"/>
    </row>
    <row r="65" spans="1:11" s="208" customFormat="1">
      <c r="A65" s="15"/>
      <c r="B65" s="15"/>
      <c r="C65" s="15"/>
      <c r="D65" s="15"/>
      <c r="E65" s="15"/>
      <c r="F65" s="15"/>
      <c r="G65" s="15"/>
    </row>
    <row r="66" spans="1:11" s="208" customFormat="1">
      <c r="A66" s="15"/>
      <c r="B66" s="212" t="s">
        <v>43</v>
      </c>
      <c r="C66" s="15"/>
      <c r="D66" s="15"/>
      <c r="E66" s="15"/>
      <c r="F66" s="15"/>
      <c r="G66" s="15"/>
    </row>
    <row r="67" spans="1:11" s="208" customFormat="1" ht="38.25" customHeight="1">
      <c r="A67" s="15"/>
      <c r="B67" s="213" t="s">
        <v>18</v>
      </c>
      <c r="C67" s="324" t="s">
        <v>19</v>
      </c>
      <c r="D67" s="324"/>
      <c r="E67" s="213" t="s">
        <v>20</v>
      </c>
      <c r="F67" s="213" t="s">
        <v>21</v>
      </c>
      <c r="G67" s="15"/>
    </row>
    <row r="68" spans="1:11" s="208" customFormat="1" ht="14.25" customHeight="1">
      <c r="A68" s="15"/>
      <c r="B68" s="341" t="s">
        <v>22</v>
      </c>
      <c r="C68" s="325">
        <v>1</v>
      </c>
      <c r="D68" s="325"/>
      <c r="E68" s="345">
        <f>ENCARREGADO!I138</f>
        <v>4723.8280000000004</v>
      </c>
      <c r="F68" s="345">
        <f>ROUNDUP(E68/(30*100000),2)</f>
        <v>0.01</v>
      </c>
      <c r="G68" s="15"/>
      <c r="H68" s="216"/>
    </row>
    <row r="69" spans="1:11" s="208" customFormat="1" ht="14.25" customHeight="1">
      <c r="A69" s="15"/>
      <c r="B69" s="341"/>
      <c r="C69" s="325" t="s">
        <v>44</v>
      </c>
      <c r="D69" s="325"/>
      <c r="E69" s="345"/>
      <c r="F69" s="345"/>
      <c r="G69" s="15"/>
      <c r="H69" s="216"/>
    </row>
    <row r="70" spans="1:11" s="208" customFormat="1">
      <c r="A70" s="15"/>
      <c r="B70" s="214" t="s">
        <v>24</v>
      </c>
      <c r="C70" s="63">
        <v>100000</v>
      </c>
      <c r="D70" s="63">
        <f>1/100000</f>
        <v>1.0000000000000001E-5</v>
      </c>
      <c r="E70" s="214">
        <f>'SERV. EXTERNO COLETA'!I139</f>
        <v>3938.9279999999999</v>
      </c>
      <c r="F70" s="215">
        <f>ROUND(D70*E70,2)</f>
        <v>0.04</v>
      </c>
      <c r="G70" s="15"/>
      <c r="H70" s="216"/>
    </row>
    <row r="71" spans="1:11" s="208" customFormat="1">
      <c r="A71" s="15"/>
      <c r="B71" s="15"/>
      <c r="C71" s="15"/>
      <c r="D71" s="15"/>
      <c r="E71" s="15"/>
      <c r="F71" s="15"/>
      <c r="G71" s="15"/>
      <c r="H71" s="216"/>
    </row>
    <row r="72" spans="1:11">
      <c r="A72" s="15"/>
      <c r="B72" s="217"/>
      <c r="C72" s="217"/>
      <c r="D72" s="217"/>
      <c r="E72" s="217"/>
      <c r="F72" s="217"/>
      <c r="G72" s="217"/>
      <c r="H72" s="218"/>
    </row>
    <row r="73" spans="1:11" ht="15" customHeight="1">
      <c r="A73" s="326" t="s">
        <v>45</v>
      </c>
      <c r="B73" s="326"/>
      <c r="C73" s="219"/>
      <c r="D73" s="219"/>
      <c r="E73" s="219"/>
      <c r="F73" s="219"/>
      <c r="G73" s="219"/>
      <c r="I73" s="216"/>
    </row>
    <row r="74" spans="1:11">
      <c r="A74" s="15"/>
      <c r="B74" s="15"/>
      <c r="C74" s="15"/>
      <c r="D74" s="15"/>
      <c r="E74" s="15"/>
      <c r="F74" s="15"/>
      <c r="G74" s="15"/>
      <c r="I74" s="256"/>
    </row>
    <row r="75" spans="1:11" ht="38.25" customHeight="1">
      <c r="A75" s="15"/>
      <c r="B75" s="213" t="s">
        <v>46</v>
      </c>
      <c r="C75" s="324" t="s">
        <v>18</v>
      </c>
      <c r="D75" s="324"/>
      <c r="E75" s="213" t="s">
        <v>47</v>
      </c>
      <c r="F75" s="213" t="s">
        <v>48</v>
      </c>
      <c r="G75" s="213" t="s">
        <v>49</v>
      </c>
    </row>
    <row r="76" spans="1:11" ht="14.25" customHeight="1">
      <c r="A76" s="15"/>
      <c r="B76" s="342" t="s">
        <v>17</v>
      </c>
      <c r="C76" s="325" t="s">
        <v>50</v>
      </c>
      <c r="D76" s="325"/>
      <c r="E76" s="220">
        <f>F8</f>
        <v>0.13</v>
      </c>
      <c r="F76" s="221">
        <f>F116</f>
        <v>18498.43</v>
      </c>
      <c r="G76" s="222">
        <f>ROUND(E76*F76,2)</f>
        <v>2404.8000000000002</v>
      </c>
    </row>
    <row r="77" spans="1:11" ht="15" customHeight="1">
      <c r="A77" s="15"/>
      <c r="B77" s="342"/>
      <c r="C77" s="327" t="s">
        <v>51</v>
      </c>
      <c r="D77" s="327"/>
      <c r="E77" s="223">
        <f>F10</f>
        <v>3.76</v>
      </c>
      <c r="F77" s="221">
        <f>F116</f>
        <v>18498.43</v>
      </c>
      <c r="G77" s="222">
        <f>ROUND(E77*F77,2)</f>
        <v>69554.100000000006</v>
      </c>
    </row>
    <row r="78" spans="1:11" ht="12" customHeight="1">
      <c r="A78" s="15"/>
      <c r="B78" s="224"/>
      <c r="C78" s="328"/>
      <c r="D78" s="328"/>
      <c r="E78" s="225"/>
      <c r="F78" s="224"/>
      <c r="G78" s="226"/>
    </row>
    <row r="79" spans="1:11" ht="15" customHeight="1">
      <c r="A79" s="15"/>
      <c r="B79" s="342" t="s">
        <v>52</v>
      </c>
      <c r="C79" s="327" t="s">
        <v>50</v>
      </c>
      <c r="D79" s="327"/>
      <c r="E79" s="223">
        <f>F14</f>
        <v>0.35</v>
      </c>
      <c r="F79" s="221">
        <f>F148</f>
        <v>2733.58</v>
      </c>
      <c r="G79" s="222">
        <f>ROUND(E79*F79,2)</f>
        <v>956.75</v>
      </c>
    </row>
    <row r="80" spans="1:11" ht="25.5" customHeight="1">
      <c r="A80" s="15"/>
      <c r="B80" s="342"/>
      <c r="C80" s="325" t="s">
        <v>51</v>
      </c>
      <c r="D80" s="325"/>
      <c r="E80" s="223">
        <f>F16</f>
        <v>11.38</v>
      </c>
      <c r="F80" s="221">
        <f>F148</f>
        <v>2733.58</v>
      </c>
      <c r="G80" s="222">
        <f>ROUND(E80*F80,2)</f>
        <v>31108.14</v>
      </c>
      <c r="J80" s="257"/>
      <c r="K80" s="257"/>
    </row>
    <row r="81" spans="1:11" ht="12.75" customHeight="1">
      <c r="A81" s="15"/>
      <c r="B81" s="224"/>
      <c r="C81" s="329"/>
      <c r="D81" s="329"/>
      <c r="E81" s="225"/>
      <c r="F81" s="224"/>
      <c r="G81" s="226"/>
      <c r="J81" s="257"/>
      <c r="K81" s="257"/>
    </row>
    <row r="82" spans="1:11" ht="16.5" customHeight="1">
      <c r="A82" s="15"/>
      <c r="B82" s="343" t="s">
        <v>28</v>
      </c>
      <c r="C82" s="325" t="s">
        <v>50</v>
      </c>
      <c r="D82" s="325"/>
      <c r="E82" s="223">
        <f>F20</f>
        <v>0.1</v>
      </c>
      <c r="F82" s="227">
        <v>2379.14</v>
      </c>
      <c r="G82" s="222">
        <f>ROUND(E82*F82,2)</f>
        <v>237.91</v>
      </c>
      <c r="J82" s="257"/>
      <c r="K82" s="257"/>
    </row>
    <row r="83" spans="1:11" ht="14.25" customHeight="1">
      <c r="A83" s="15"/>
      <c r="B83" s="343"/>
      <c r="C83" s="325" t="s">
        <v>51</v>
      </c>
      <c r="D83" s="325"/>
      <c r="E83" s="223">
        <f>F22</f>
        <v>3.01</v>
      </c>
      <c r="F83" s="227">
        <v>2379.14</v>
      </c>
      <c r="G83" s="222">
        <f>ROUND(E83*F83,2)</f>
        <v>7161.21</v>
      </c>
      <c r="J83" s="258"/>
      <c r="K83" s="257"/>
    </row>
    <row r="84" spans="1:11" ht="11.25" customHeight="1">
      <c r="A84" s="15"/>
      <c r="B84" s="228"/>
      <c r="C84" s="329"/>
      <c r="D84" s="329"/>
      <c r="E84" s="225"/>
      <c r="F84" s="228"/>
      <c r="G84" s="226"/>
      <c r="J84" s="258"/>
      <c r="K84" s="257"/>
    </row>
    <row r="85" spans="1:11" ht="14.25" customHeight="1">
      <c r="A85" s="15"/>
      <c r="B85" s="344" t="s">
        <v>53</v>
      </c>
      <c r="C85" s="325" t="s">
        <v>50</v>
      </c>
      <c r="D85" s="325"/>
      <c r="E85" s="223">
        <f>F26</f>
        <v>0.1</v>
      </c>
      <c r="F85" s="189">
        <f>F184</f>
        <v>69.510000000000005</v>
      </c>
      <c r="G85" s="222">
        <f>ROUND(E85*F85,2)</f>
        <v>6.95</v>
      </c>
      <c r="J85" s="258"/>
      <c r="K85" s="257"/>
    </row>
    <row r="86" spans="1:11" ht="28.5" customHeight="1">
      <c r="A86" s="15"/>
      <c r="B86" s="344"/>
      <c r="C86" s="325" t="s">
        <v>51</v>
      </c>
      <c r="D86" s="325"/>
      <c r="E86" s="223">
        <f>F28</f>
        <v>3.41</v>
      </c>
      <c r="F86" s="189">
        <f>F184</f>
        <v>69.510000000000005</v>
      </c>
      <c r="G86" s="222">
        <f>ROUND(E86*F86,2)</f>
        <v>237.03</v>
      </c>
      <c r="J86" s="258"/>
      <c r="K86" s="257"/>
    </row>
    <row r="87" spans="1:11" ht="12" customHeight="1">
      <c r="A87" s="15"/>
      <c r="B87" s="229"/>
      <c r="C87" s="329"/>
      <c r="D87" s="329"/>
      <c r="E87" s="225"/>
      <c r="F87" s="229"/>
      <c r="G87" s="226"/>
      <c r="J87" s="258"/>
      <c r="K87" s="257"/>
    </row>
    <row r="88" spans="1:11" ht="21" customHeight="1">
      <c r="A88" s="15"/>
      <c r="B88" s="343" t="s">
        <v>54</v>
      </c>
      <c r="C88" s="325" t="s">
        <v>50</v>
      </c>
      <c r="D88" s="325"/>
      <c r="E88" s="223">
        <f>F32</f>
        <v>0.1</v>
      </c>
      <c r="F88" s="227">
        <f>F196</f>
        <v>5131.99</v>
      </c>
      <c r="G88" s="222">
        <f>ROUND(E88*F88,2)</f>
        <v>513.20000000000005</v>
      </c>
      <c r="J88" s="258"/>
      <c r="K88" s="257"/>
    </row>
    <row r="89" spans="1:11" ht="25.5" customHeight="1">
      <c r="A89" s="15"/>
      <c r="B89" s="343"/>
      <c r="C89" s="325" t="s">
        <v>51</v>
      </c>
      <c r="D89" s="325"/>
      <c r="E89" s="223">
        <f>F34</f>
        <v>3.01</v>
      </c>
      <c r="F89" s="227">
        <f>F196</f>
        <v>5131.99</v>
      </c>
      <c r="G89" s="222">
        <f>ROUND(E89*F89,2)</f>
        <v>15447.29</v>
      </c>
      <c r="J89" s="258"/>
      <c r="K89" s="257"/>
    </row>
    <row r="90" spans="1:11" ht="12.75" customHeight="1">
      <c r="A90" s="15"/>
      <c r="B90" s="228"/>
      <c r="C90" s="329"/>
      <c r="D90" s="329"/>
      <c r="E90" s="225"/>
      <c r="F90" s="228"/>
      <c r="G90" s="226"/>
      <c r="J90" s="258"/>
      <c r="K90" s="257"/>
    </row>
    <row r="91" spans="1:11" ht="25.5" customHeight="1">
      <c r="A91" s="15"/>
      <c r="B91" s="343" t="s">
        <v>55</v>
      </c>
      <c r="C91" s="325" t="s">
        <v>50</v>
      </c>
      <c r="D91" s="325"/>
      <c r="E91" s="223">
        <f>F38</f>
        <v>0.79</v>
      </c>
      <c r="F91" s="227">
        <f>F212</f>
        <v>1153.1600000000001</v>
      </c>
      <c r="G91" s="222">
        <f>ROUND(E91*F91,2)</f>
        <v>911</v>
      </c>
      <c r="J91" s="258"/>
      <c r="K91" s="257"/>
    </row>
    <row r="92" spans="1:11" ht="25.5" customHeight="1">
      <c r="A92" s="15"/>
      <c r="B92" s="343"/>
      <c r="C92" s="325" t="s">
        <v>51</v>
      </c>
      <c r="D92" s="325"/>
      <c r="E92" s="223">
        <f>F40</f>
        <v>28.62</v>
      </c>
      <c r="F92" s="227">
        <f>F212</f>
        <v>1153.1600000000001</v>
      </c>
      <c r="G92" s="222">
        <f>ROUND(E92*F92,2)</f>
        <v>33003.440000000002</v>
      </c>
      <c r="J92" s="258"/>
      <c r="K92" s="257"/>
    </row>
    <row r="93" spans="1:11" ht="11.25" customHeight="1">
      <c r="A93" s="15"/>
      <c r="B93" s="229"/>
      <c r="C93" s="329"/>
      <c r="D93" s="329"/>
      <c r="E93" s="225"/>
      <c r="F93" s="229"/>
      <c r="G93" s="226"/>
      <c r="J93" s="258"/>
      <c r="K93" s="257"/>
    </row>
    <row r="94" spans="1:11" ht="25.5" customHeight="1">
      <c r="A94" s="15"/>
      <c r="B94" s="343" t="s">
        <v>56</v>
      </c>
      <c r="C94" s="325" t="s">
        <v>50</v>
      </c>
      <c r="D94" s="325"/>
      <c r="E94" s="223">
        <f>F44</f>
        <v>0.13</v>
      </c>
      <c r="F94" s="227">
        <f>F240</f>
        <v>4505.6499999999996</v>
      </c>
      <c r="G94" s="222">
        <f>ROUND(E94*F94,2)</f>
        <v>585.73</v>
      </c>
      <c r="J94" s="258"/>
      <c r="K94" s="257"/>
    </row>
    <row r="95" spans="1:11">
      <c r="A95" s="15"/>
      <c r="B95" s="343"/>
      <c r="C95" s="327" t="s">
        <v>51</v>
      </c>
      <c r="D95" s="327"/>
      <c r="E95" s="223">
        <f>F46</f>
        <v>2.19</v>
      </c>
      <c r="F95" s="227">
        <f>F240</f>
        <v>4505.6499999999996</v>
      </c>
      <c r="G95" s="222">
        <f>ROUND(E95*F95,2)</f>
        <v>9867.3700000000008</v>
      </c>
      <c r="J95" s="258"/>
      <c r="K95" s="257"/>
    </row>
    <row r="96" spans="1:11" ht="11.25" customHeight="1">
      <c r="A96" s="15"/>
      <c r="B96" s="229"/>
      <c r="C96" s="328"/>
      <c r="D96" s="328"/>
      <c r="E96" s="225"/>
      <c r="F96" s="229"/>
      <c r="G96" s="226"/>
      <c r="J96" s="258"/>
      <c r="K96" s="257"/>
    </row>
    <row r="97" spans="1:11" ht="14.25" customHeight="1">
      <c r="A97" s="15"/>
      <c r="B97" s="343" t="s">
        <v>57</v>
      </c>
      <c r="C97" s="327" t="s">
        <v>50</v>
      </c>
      <c r="D97" s="327"/>
      <c r="E97" s="223">
        <f>F50</f>
        <v>0.03</v>
      </c>
      <c r="F97" s="227">
        <f>F265</f>
        <v>7719.34</v>
      </c>
      <c r="G97" s="222">
        <f>ROUND(E97*F97,2)</f>
        <v>231.58</v>
      </c>
      <c r="J97" s="258"/>
      <c r="K97" s="257"/>
    </row>
    <row r="98" spans="1:11" ht="25.5" customHeight="1">
      <c r="A98" s="15"/>
      <c r="B98" s="343"/>
      <c r="C98" s="325" t="s">
        <v>51</v>
      </c>
      <c r="D98" s="325"/>
      <c r="E98" s="223">
        <f>F52</f>
        <v>0.66</v>
      </c>
      <c r="F98" s="227">
        <f>F265</f>
        <v>7719.34</v>
      </c>
      <c r="G98" s="222">
        <f>ROUND(E98*F98,2)</f>
        <v>5094.76</v>
      </c>
      <c r="J98" s="258"/>
      <c r="K98" s="257"/>
    </row>
    <row r="99" spans="1:11" ht="11.25" customHeight="1">
      <c r="A99" s="15"/>
      <c r="B99" s="229"/>
      <c r="C99" s="329"/>
      <c r="D99" s="329"/>
      <c r="E99" s="225"/>
      <c r="F99" s="229"/>
      <c r="G99" s="226"/>
      <c r="J99" s="258"/>
      <c r="K99" s="257"/>
    </row>
    <row r="100" spans="1:11" ht="25.5" customHeight="1">
      <c r="A100" s="15"/>
      <c r="B100" s="343" t="s">
        <v>40</v>
      </c>
      <c r="C100" s="325" t="s">
        <v>50</v>
      </c>
      <c r="D100" s="325"/>
      <c r="E100" s="223">
        <f>F56</f>
        <v>0.09</v>
      </c>
      <c r="F100" s="227">
        <f>F275</f>
        <v>3586.64</v>
      </c>
      <c r="G100" s="222">
        <f>ROUND(E100*F100,2)</f>
        <v>322.8</v>
      </c>
      <c r="J100" s="258"/>
      <c r="K100" s="257"/>
    </row>
    <row r="101" spans="1:11" ht="25.5" customHeight="1">
      <c r="A101" s="15"/>
      <c r="B101" s="343"/>
      <c r="C101" s="325" t="s">
        <v>51</v>
      </c>
      <c r="D101" s="325"/>
      <c r="E101" s="223">
        <f>F58</f>
        <v>2.19</v>
      </c>
      <c r="F101" s="227">
        <f>F275</f>
        <v>3586.64</v>
      </c>
      <c r="G101" s="222">
        <f>ROUND(E101*F101,2)</f>
        <v>7854.74</v>
      </c>
      <c r="J101" s="258"/>
      <c r="K101" s="257"/>
    </row>
    <row r="102" spans="1:11" ht="12" customHeight="1">
      <c r="A102" s="15"/>
      <c r="B102" s="229"/>
      <c r="C102" s="329"/>
      <c r="D102" s="329"/>
      <c r="E102" s="225"/>
      <c r="F102" s="229"/>
      <c r="G102" s="226"/>
      <c r="J102" s="258"/>
      <c r="K102" s="257"/>
    </row>
    <row r="103" spans="1:11" ht="25.5" customHeight="1">
      <c r="A103" s="15"/>
      <c r="B103" s="343" t="s">
        <v>58</v>
      </c>
      <c r="C103" s="325" t="s">
        <v>50</v>
      </c>
      <c r="D103" s="325"/>
      <c r="E103" s="223">
        <f>F62</f>
        <v>0.06</v>
      </c>
      <c r="F103" s="227">
        <f>F291</f>
        <v>2332.19</v>
      </c>
      <c r="G103" s="222">
        <f>ROUND(E103*F103,2)</f>
        <v>139.93</v>
      </c>
      <c r="J103" s="258"/>
      <c r="K103" s="257"/>
    </row>
    <row r="104" spans="1:11" ht="25.5" customHeight="1">
      <c r="A104" s="15"/>
      <c r="B104" s="343"/>
      <c r="C104" s="325" t="s">
        <v>51</v>
      </c>
      <c r="D104" s="325"/>
      <c r="E104" s="223">
        <f>F64</f>
        <v>1.46</v>
      </c>
      <c r="F104" s="227">
        <f>F291</f>
        <v>2332.19</v>
      </c>
      <c r="G104" s="222">
        <f>ROUND(E104*F104,2)</f>
        <v>3405</v>
      </c>
      <c r="J104" s="258"/>
      <c r="K104" s="257"/>
    </row>
    <row r="105" spans="1:11" ht="12" customHeight="1">
      <c r="A105" s="15"/>
      <c r="B105" s="229"/>
      <c r="C105" s="329"/>
      <c r="D105" s="329"/>
      <c r="E105" s="225"/>
      <c r="F105" s="229"/>
      <c r="G105" s="226"/>
      <c r="J105" s="258"/>
      <c r="K105" s="257"/>
    </row>
    <row r="106" spans="1:11" ht="19.5" customHeight="1">
      <c r="A106" s="15"/>
      <c r="B106" s="343" t="s">
        <v>43</v>
      </c>
      <c r="C106" s="325" t="s">
        <v>50</v>
      </c>
      <c r="D106" s="325"/>
      <c r="E106" s="223">
        <f>F68</f>
        <v>0.01</v>
      </c>
      <c r="F106" s="227">
        <f>F315</f>
        <v>7601</v>
      </c>
      <c r="G106" s="222">
        <f>ROUND(E106*F106,2)</f>
        <v>76.010000000000005</v>
      </c>
      <c r="J106" s="258"/>
      <c r="K106" s="257"/>
    </row>
    <row r="107" spans="1:11" ht="14.25" customHeight="1">
      <c r="A107" s="15"/>
      <c r="B107" s="343"/>
      <c r="C107" s="325" t="s">
        <v>51</v>
      </c>
      <c r="D107" s="325"/>
      <c r="E107" s="223">
        <f>F70</f>
        <v>0.04</v>
      </c>
      <c r="F107" s="227">
        <f>F315</f>
        <v>7601</v>
      </c>
      <c r="G107" s="222">
        <f>ROUND(E107*F107,2)</f>
        <v>304.04000000000002</v>
      </c>
      <c r="J107" s="258"/>
      <c r="K107" s="257"/>
    </row>
    <row r="108" spans="1:11">
      <c r="A108" s="15"/>
      <c r="B108" s="229"/>
      <c r="C108" s="330"/>
      <c r="D108" s="330"/>
      <c r="E108" s="330"/>
      <c r="F108" s="330"/>
      <c r="G108" s="230"/>
      <c r="H108" s="231"/>
      <c r="K108" s="257"/>
    </row>
    <row r="109" spans="1:11">
      <c r="A109" s="15"/>
      <c r="B109" s="343"/>
      <c r="C109" s="331" t="s">
        <v>59</v>
      </c>
      <c r="D109" s="331"/>
      <c r="E109" s="331"/>
      <c r="F109" s="331"/>
      <c r="G109" s="232">
        <f>SUM(G76:G107)</f>
        <v>189423.78</v>
      </c>
      <c r="H109" s="233"/>
      <c r="I109" s="208" t="s">
        <v>35</v>
      </c>
    </row>
    <row r="110" spans="1:11">
      <c r="A110" s="15"/>
      <c r="B110" s="343"/>
      <c r="C110" s="331" t="s">
        <v>60</v>
      </c>
      <c r="D110" s="331"/>
      <c r="E110" s="331"/>
      <c r="F110" s="331"/>
      <c r="G110" s="232">
        <f>G109*12</f>
        <v>2273085.36</v>
      </c>
      <c r="H110" s="216"/>
    </row>
    <row r="111" spans="1:11">
      <c r="A111" s="15"/>
      <c r="B111" s="15"/>
      <c r="C111" s="15"/>
      <c r="D111" s="15"/>
      <c r="E111" s="15"/>
      <c r="F111" s="15"/>
      <c r="G111" s="15"/>
    </row>
    <row r="112" spans="1:11">
      <c r="A112" s="323" t="s">
        <v>61</v>
      </c>
      <c r="B112" s="323"/>
      <c r="C112" s="323"/>
      <c r="D112" s="323"/>
      <c r="E112" s="323"/>
      <c r="F112" s="323"/>
      <c r="G112" s="323"/>
    </row>
    <row r="113" spans="1:8">
      <c r="A113" s="209"/>
      <c r="B113" s="209"/>
      <c r="C113" s="15"/>
      <c r="D113" s="15"/>
      <c r="E113" s="15"/>
      <c r="F113" s="15"/>
      <c r="G113" s="15"/>
    </row>
    <row r="114" spans="1:8" ht="51">
      <c r="A114" s="234" t="s">
        <v>1</v>
      </c>
      <c r="B114" s="235" t="s">
        <v>62</v>
      </c>
      <c r="C114" s="236" t="s">
        <v>63</v>
      </c>
      <c r="D114" s="236" t="s">
        <v>64</v>
      </c>
      <c r="E114" s="236" t="s">
        <v>65</v>
      </c>
      <c r="F114" s="236" t="s">
        <v>66</v>
      </c>
      <c r="G114" s="237" t="s">
        <v>67</v>
      </c>
    </row>
    <row r="115" spans="1:8">
      <c r="A115" s="234" t="s">
        <v>68</v>
      </c>
      <c r="B115" s="235" t="s">
        <v>69</v>
      </c>
      <c r="C115" s="238">
        <f>SUM(C116,C148,C168,C184,C196,C212)</f>
        <v>32444.95</v>
      </c>
      <c r="D115" s="238">
        <f>SUM(D116,D148,D168,D184,D196,D212)</f>
        <v>1621</v>
      </c>
      <c r="E115" s="238">
        <f>SUM(E116,E148,E168,E184,E196,E212)</f>
        <v>520974.76</v>
      </c>
      <c r="F115" s="238">
        <f>SUM(F116,F148,F168,F184,F196,F212)</f>
        <v>29965.79</v>
      </c>
      <c r="G115" s="237">
        <f>ROUNDDOWN(SUM(G116,G148,G168,G184,G196,G212),0)</f>
        <v>31</v>
      </c>
    </row>
    <row r="116" spans="1:8" ht="51">
      <c r="A116" s="239" t="s">
        <v>70</v>
      </c>
      <c r="B116" s="240" t="s">
        <v>71</v>
      </c>
      <c r="C116" s="241">
        <f>SUM(C117,C128,C133,C137,C140)</f>
        <v>8274.2000000000007</v>
      </c>
      <c r="D116" s="241">
        <f>SUM(D117,D128,D133,D137,D140)</f>
        <v>902</v>
      </c>
      <c r="E116" s="241">
        <f>SUM(E117,E128,E133,E137,E140)</f>
        <v>406965.46</v>
      </c>
      <c r="F116" s="241">
        <f>ROUND(F117+F128+F133+F137+F140,2)</f>
        <v>18498.43</v>
      </c>
      <c r="G116" s="242">
        <f>SUM(G117,G128,G133,G140)</f>
        <v>15.3855916666667</v>
      </c>
      <c r="H116" s="243"/>
    </row>
    <row r="117" spans="1:8" ht="14.25" customHeight="1">
      <c r="A117" s="332" t="s">
        <v>72</v>
      </c>
      <c r="B117" s="332"/>
      <c r="C117" s="244">
        <f>SUM(C118:C127)</f>
        <v>4317.7</v>
      </c>
      <c r="D117" s="244">
        <f>SUM(D118:D127)</f>
        <v>506</v>
      </c>
      <c r="E117" s="244">
        <f>SUM(E118:E127)</f>
        <v>257387.24</v>
      </c>
      <c r="F117" s="244">
        <f>SUM(F118:F127)</f>
        <v>11699.42</v>
      </c>
      <c r="G117" s="245">
        <f>SUM(G118:G126)</f>
        <v>9.7464166666666703</v>
      </c>
    </row>
    <row r="118" spans="1:8">
      <c r="A118" s="246" t="s">
        <v>73</v>
      </c>
      <c r="B118" s="247" t="s">
        <v>74</v>
      </c>
      <c r="C118" s="248">
        <v>589.24</v>
      </c>
      <c r="D118" s="249">
        <v>66</v>
      </c>
      <c r="E118" s="249">
        <f t="shared" ref="E118:E126" si="0">D118*C118</f>
        <v>38889.839999999997</v>
      </c>
      <c r="F118" s="249">
        <f t="shared" ref="F118:F126" si="1">E118/22</f>
        <v>1767.72</v>
      </c>
      <c r="G118" s="250">
        <f>ROUND(F118/1200,2)</f>
        <v>1.47</v>
      </c>
    </row>
    <row r="119" spans="1:8">
      <c r="A119" s="246" t="s">
        <v>75</v>
      </c>
      <c r="B119" s="247" t="s">
        <v>76</v>
      </c>
      <c r="C119" s="248">
        <v>798.21</v>
      </c>
      <c r="D119" s="249">
        <v>66</v>
      </c>
      <c r="E119" s="249">
        <f t="shared" si="0"/>
        <v>52681.86</v>
      </c>
      <c r="F119" s="249">
        <f t="shared" si="1"/>
        <v>2394.63</v>
      </c>
      <c r="G119" s="250">
        <f t="shared" ref="G119:G126" si="2">F119/1200</f>
        <v>1.995525</v>
      </c>
    </row>
    <row r="120" spans="1:8">
      <c r="A120" s="246" t="s">
        <v>77</v>
      </c>
      <c r="B120" s="247" t="s">
        <v>78</v>
      </c>
      <c r="C120" s="248">
        <v>1048.0899999999999</v>
      </c>
      <c r="D120" s="249">
        <v>66</v>
      </c>
      <c r="E120" s="249">
        <f t="shared" si="0"/>
        <v>69173.94</v>
      </c>
      <c r="F120" s="249">
        <f t="shared" si="1"/>
        <v>3144.27</v>
      </c>
      <c r="G120" s="250">
        <f t="shared" si="2"/>
        <v>2.620225</v>
      </c>
    </row>
    <row r="121" spans="1:8">
      <c r="A121" s="246" t="s">
        <v>79</v>
      </c>
      <c r="B121" s="247" t="s">
        <v>80</v>
      </c>
      <c r="C121" s="248">
        <v>61.62</v>
      </c>
      <c r="D121" s="249">
        <v>66</v>
      </c>
      <c r="E121" s="249">
        <f t="shared" si="0"/>
        <v>4066.92</v>
      </c>
      <c r="F121" s="249">
        <f t="shared" si="1"/>
        <v>184.86</v>
      </c>
      <c r="G121" s="250">
        <f t="shared" si="2"/>
        <v>0.15404999999999999</v>
      </c>
    </row>
    <row r="122" spans="1:8">
      <c r="A122" s="246" t="s">
        <v>81</v>
      </c>
      <c r="B122" s="247" t="s">
        <v>82</v>
      </c>
      <c r="C122" s="248">
        <v>495.07</v>
      </c>
      <c r="D122" s="249">
        <v>66</v>
      </c>
      <c r="E122" s="249">
        <f t="shared" si="0"/>
        <v>32674.62</v>
      </c>
      <c r="F122" s="249">
        <f t="shared" si="1"/>
        <v>1485.21</v>
      </c>
      <c r="G122" s="250">
        <f t="shared" si="2"/>
        <v>1.2376750000000001</v>
      </c>
    </row>
    <row r="123" spans="1:8" ht="38.25">
      <c r="A123" s="246" t="s">
        <v>83</v>
      </c>
      <c r="B123" s="247" t="s">
        <v>84</v>
      </c>
      <c r="C123" s="248">
        <v>426.24</v>
      </c>
      <c r="D123" s="249">
        <v>66</v>
      </c>
      <c r="E123" s="249">
        <f t="shared" si="0"/>
        <v>28131.84</v>
      </c>
      <c r="F123" s="249">
        <f t="shared" si="1"/>
        <v>1278.72</v>
      </c>
      <c r="G123" s="250">
        <f t="shared" si="2"/>
        <v>1.0656000000000001</v>
      </c>
    </row>
    <row r="124" spans="1:8">
      <c r="A124" s="246" t="s">
        <v>77</v>
      </c>
      <c r="B124" s="247" t="s">
        <v>85</v>
      </c>
      <c r="C124" s="248">
        <v>354.45</v>
      </c>
      <c r="D124" s="249">
        <v>22</v>
      </c>
      <c r="E124" s="249">
        <f t="shared" si="0"/>
        <v>7797.9</v>
      </c>
      <c r="F124" s="249">
        <f t="shared" si="1"/>
        <v>354.45</v>
      </c>
      <c r="G124" s="250">
        <f t="shared" si="2"/>
        <v>0.295375</v>
      </c>
    </row>
    <row r="125" spans="1:8">
      <c r="A125" s="246" t="s">
        <v>79</v>
      </c>
      <c r="B125" s="247" t="s">
        <v>86</v>
      </c>
      <c r="C125" s="248">
        <v>247.5</v>
      </c>
      <c r="D125" s="249">
        <v>44</v>
      </c>
      <c r="E125" s="249">
        <f t="shared" si="0"/>
        <v>10890</v>
      </c>
      <c r="F125" s="249">
        <f t="shared" si="1"/>
        <v>495</v>
      </c>
      <c r="G125" s="250">
        <f t="shared" si="2"/>
        <v>0.41249999999999998</v>
      </c>
    </row>
    <row r="126" spans="1:8">
      <c r="A126" s="246" t="s">
        <v>81</v>
      </c>
      <c r="B126" s="247" t="s">
        <v>87</v>
      </c>
      <c r="C126" s="248">
        <v>297.27999999999997</v>
      </c>
      <c r="D126" s="249">
        <v>44</v>
      </c>
      <c r="E126" s="249">
        <f t="shared" si="0"/>
        <v>13080.32</v>
      </c>
      <c r="F126" s="249">
        <f t="shared" si="1"/>
        <v>594.55999999999995</v>
      </c>
      <c r="G126" s="250">
        <f t="shared" si="2"/>
        <v>0.495466666666667</v>
      </c>
    </row>
    <row r="127" spans="1:8" ht="8.25" customHeight="1">
      <c r="A127" s="251"/>
      <c r="B127" s="252"/>
      <c r="C127" s="253"/>
      <c r="D127" s="238"/>
      <c r="E127" s="238"/>
      <c r="F127" s="238"/>
      <c r="G127" s="254"/>
    </row>
    <row r="128" spans="1:8" ht="14.25" customHeight="1">
      <c r="A128" s="332" t="s">
        <v>88</v>
      </c>
      <c r="B128" s="332"/>
      <c r="C128" s="244">
        <f>SUM(C129:C132)</f>
        <v>2493.1799999999998</v>
      </c>
      <c r="D128" s="244">
        <f>SUM(D129:D132)</f>
        <v>88</v>
      </c>
      <c r="E128" s="244">
        <f>SUM(E129:E132)</f>
        <v>86534.58</v>
      </c>
      <c r="F128" s="244">
        <f>SUM(F129:F132)</f>
        <v>3933.39</v>
      </c>
      <c r="G128" s="255">
        <f>SUM(G129:G131)</f>
        <v>3.277825</v>
      </c>
    </row>
    <row r="129" spans="1:7">
      <c r="A129" s="246" t="s">
        <v>89</v>
      </c>
      <c r="B129" s="247" t="s">
        <v>90</v>
      </c>
      <c r="C129" s="248">
        <v>1440.21</v>
      </c>
      <c r="D129" s="249">
        <v>44</v>
      </c>
      <c r="E129" s="249">
        <f>D129*C129</f>
        <v>63369.24</v>
      </c>
      <c r="F129" s="249">
        <f>E129/22</f>
        <v>2880.42</v>
      </c>
      <c r="G129" s="250">
        <f>F129/1200</f>
        <v>2.40035</v>
      </c>
    </row>
    <row r="130" spans="1:7">
      <c r="A130" s="246" t="s">
        <v>91</v>
      </c>
      <c r="B130" s="247" t="s">
        <v>92</v>
      </c>
      <c r="C130" s="248">
        <v>824.53</v>
      </c>
      <c r="D130" s="249">
        <v>22</v>
      </c>
      <c r="E130" s="249">
        <f>D130*C130</f>
        <v>18139.66</v>
      </c>
      <c r="F130" s="249">
        <f>E130/22</f>
        <v>824.53</v>
      </c>
      <c r="G130" s="250">
        <f>F130/1200</f>
        <v>0.68710833333333299</v>
      </c>
    </row>
    <row r="131" spans="1:7">
      <c r="A131" s="246" t="s">
        <v>93</v>
      </c>
      <c r="B131" s="247" t="s">
        <v>85</v>
      </c>
      <c r="C131" s="248">
        <v>228.44</v>
      </c>
      <c r="D131" s="249">
        <v>22</v>
      </c>
      <c r="E131" s="249">
        <f>D131*C131</f>
        <v>5025.68</v>
      </c>
      <c r="F131" s="249">
        <f>E131/22</f>
        <v>228.44</v>
      </c>
      <c r="G131" s="250">
        <f>F131/1200</f>
        <v>0.19036666666666699</v>
      </c>
    </row>
    <row r="132" spans="1:7" ht="7.5" customHeight="1">
      <c r="A132" s="251"/>
      <c r="B132" s="252"/>
      <c r="C132" s="253"/>
      <c r="D132" s="238"/>
      <c r="E132" s="238"/>
      <c r="F132" s="238"/>
      <c r="G132" s="254"/>
    </row>
    <row r="133" spans="1:7" ht="14.25" customHeight="1">
      <c r="A133" s="332" t="s">
        <v>94</v>
      </c>
      <c r="B133" s="332"/>
      <c r="C133" s="244">
        <f>SUM(C134:C135)</f>
        <v>125.21</v>
      </c>
      <c r="D133" s="244">
        <f>SUM(D134:D135)</f>
        <v>44</v>
      </c>
      <c r="E133" s="244">
        <f>SUM(E134:E135)</f>
        <v>2754.62</v>
      </c>
      <c r="F133" s="244">
        <f>SUM(F134:F135)</f>
        <v>125.21</v>
      </c>
      <c r="G133" s="255">
        <f>SUM(G134,G135)</f>
        <v>0.104341666666667</v>
      </c>
    </row>
    <row r="134" spans="1:7" ht="18" customHeight="1">
      <c r="A134" s="246" t="s">
        <v>95</v>
      </c>
      <c r="B134" s="247" t="s">
        <v>96</v>
      </c>
      <c r="C134" s="248">
        <v>65.290000000000006</v>
      </c>
      <c r="D134" s="249">
        <v>22</v>
      </c>
      <c r="E134" s="249">
        <f>D134*C134</f>
        <v>1436.38</v>
      </c>
      <c r="F134" s="249">
        <f>E134/22</f>
        <v>65.290000000000006</v>
      </c>
      <c r="G134" s="250">
        <f>F134/1200</f>
        <v>5.4408333333333302E-2</v>
      </c>
    </row>
    <row r="135" spans="1:7" ht="18" customHeight="1">
      <c r="A135" s="246" t="s">
        <v>97</v>
      </c>
      <c r="B135" s="247" t="s">
        <v>98</v>
      </c>
      <c r="C135" s="248">
        <v>59.92</v>
      </c>
      <c r="D135" s="249">
        <v>22</v>
      </c>
      <c r="E135" s="249">
        <f>D135*C135</f>
        <v>1318.24</v>
      </c>
      <c r="F135" s="249">
        <f>E135/22</f>
        <v>59.92</v>
      </c>
      <c r="G135" s="250">
        <f>F135/1200</f>
        <v>4.9933333333333302E-2</v>
      </c>
    </row>
    <row r="136" spans="1:7" ht="9.75" customHeight="1">
      <c r="A136" s="259"/>
      <c r="B136" s="252"/>
      <c r="C136" s="253"/>
      <c r="D136" s="238"/>
      <c r="E136" s="238"/>
      <c r="F136" s="238"/>
      <c r="G136" s="254"/>
    </row>
    <row r="137" spans="1:7" ht="14.25" customHeight="1">
      <c r="A137" s="332" t="s">
        <v>99</v>
      </c>
      <c r="B137" s="332"/>
      <c r="C137" s="244">
        <f>SUM(C138)</f>
        <v>32</v>
      </c>
      <c r="D137" s="244">
        <f>SUM(D138)</f>
        <v>22</v>
      </c>
      <c r="E137" s="244">
        <f>SUM(E138)</f>
        <v>704</v>
      </c>
      <c r="F137" s="244">
        <f>SUM(F138)</f>
        <v>32</v>
      </c>
      <c r="G137" s="255">
        <f>SUM(G138)</f>
        <v>2.66666666666667E-2</v>
      </c>
    </row>
    <row r="138" spans="1:7" ht="18" customHeight="1">
      <c r="A138" s="246" t="s">
        <v>100</v>
      </c>
      <c r="B138" s="247" t="s">
        <v>101</v>
      </c>
      <c r="C138" s="248">
        <v>32</v>
      </c>
      <c r="D138" s="249">
        <v>22</v>
      </c>
      <c r="E138" s="249">
        <f>D138*C138</f>
        <v>704</v>
      </c>
      <c r="F138" s="249">
        <f>E138/22</f>
        <v>32</v>
      </c>
      <c r="G138" s="250">
        <f>F138/1200</f>
        <v>2.66666666666667E-2</v>
      </c>
    </row>
    <row r="139" spans="1:7" ht="9.75" customHeight="1">
      <c r="A139" s="251"/>
      <c r="B139" s="252"/>
      <c r="C139" s="253"/>
      <c r="D139" s="238"/>
      <c r="E139" s="238"/>
      <c r="F139" s="238"/>
      <c r="G139" s="254"/>
    </row>
    <row r="140" spans="1:7" ht="14.25" customHeight="1">
      <c r="A140" s="332" t="s">
        <v>102</v>
      </c>
      <c r="B140" s="332"/>
      <c r="C140" s="244">
        <f>SUM(C141:C147)</f>
        <v>1306.1099999999999</v>
      </c>
      <c r="D140" s="244">
        <f>SUM(D141:D147)</f>
        <v>242</v>
      </c>
      <c r="E140" s="244">
        <f>SUM(E141:E147)</f>
        <v>59585.02</v>
      </c>
      <c r="F140" s="244">
        <f>SUM(F141:F147)</f>
        <v>2708.41</v>
      </c>
      <c r="G140" s="255">
        <f>SUM(G141:G146)</f>
        <v>2.2570083333333302</v>
      </c>
    </row>
    <row r="141" spans="1:7">
      <c r="A141" s="246" t="s">
        <v>103</v>
      </c>
      <c r="B141" s="247" t="s">
        <v>104</v>
      </c>
      <c r="C141" s="248">
        <v>312.89</v>
      </c>
      <c r="D141" s="249">
        <v>66</v>
      </c>
      <c r="E141" s="249">
        <f t="shared" ref="E141:E146" si="3">D141*C141</f>
        <v>20650.740000000002</v>
      </c>
      <c r="F141" s="249">
        <f t="shared" ref="F141:F146" si="4">E141/22</f>
        <v>938.67</v>
      </c>
      <c r="G141" s="250">
        <f t="shared" ref="G141:G146" si="5">F141/1200</f>
        <v>0.78222499999999995</v>
      </c>
    </row>
    <row r="142" spans="1:7">
      <c r="A142" s="246" t="s">
        <v>105</v>
      </c>
      <c r="B142" s="247" t="s">
        <v>106</v>
      </c>
      <c r="C142" s="248">
        <v>249.7</v>
      </c>
      <c r="D142" s="249">
        <v>66</v>
      </c>
      <c r="E142" s="249">
        <f t="shared" si="3"/>
        <v>16480.2</v>
      </c>
      <c r="F142" s="249">
        <f t="shared" si="4"/>
        <v>749.1</v>
      </c>
      <c r="G142" s="250">
        <f t="shared" si="5"/>
        <v>0.62424999999999997</v>
      </c>
    </row>
    <row r="143" spans="1:7" ht="21.75" customHeight="1">
      <c r="A143" s="246" t="s">
        <v>107</v>
      </c>
      <c r="B143" s="247" t="s">
        <v>108</v>
      </c>
      <c r="C143" s="248">
        <v>277.12</v>
      </c>
      <c r="D143" s="249">
        <v>44</v>
      </c>
      <c r="E143" s="249">
        <f t="shared" si="3"/>
        <v>12193.28</v>
      </c>
      <c r="F143" s="249">
        <f t="shared" si="4"/>
        <v>554.24</v>
      </c>
      <c r="G143" s="250">
        <f t="shared" si="5"/>
        <v>0.46186666666666698</v>
      </c>
    </row>
    <row r="144" spans="1:7">
      <c r="A144" s="246" t="s">
        <v>109</v>
      </c>
      <c r="B144" s="247" t="s">
        <v>110</v>
      </c>
      <c r="C144" s="248">
        <v>25.92</v>
      </c>
      <c r="D144" s="249">
        <v>22</v>
      </c>
      <c r="E144" s="249">
        <f t="shared" si="3"/>
        <v>570.24</v>
      </c>
      <c r="F144" s="249">
        <f t="shared" si="4"/>
        <v>25.92</v>
      </c>
      <c r="G144" s="250">
        <f t="shared" si="5"/>
        <v>2.1600000000000001E-2</v>
      </c>
    </row>
    <row r="145" spans="1:7">
      <c r="A145" s="246" t="s">
        <v>111</v>
      </c>
      <c r="B145" s="247" t="s">
        <v>112</v>
      </c>
      <c r="C145" s="248">
        <f>2.1+4.57</f>
        <v>6.67</v>
      </c>
      <c r="D145" s="249">
        <v>22</v>
      </c>
      <c r="E145" s="249">
        <f t="shared" si="3"/>
        <v>146.74</v>
      </c>
      <c r="F145" s="249">
        <f t="shared" si="4"/>
        <v>6.67</v>
      </c>
      <c r="G145" s="250">
        <f t="shared" si="5"/>
        <v>5.5583333333333301E-3</v>
      </c>
    </row>
    <row r="146" spans="1:7">
      <c r="A146" s="246" t="s">
        <v>113</v>
      </c>
      <c r="B146" s="247" t="s">
        <v>114</v>
      </c>
      <c r="C146" s="248">
        <v>433.81</v>
      </c>
      <c r="D146" s="249">
        <v>22</v>
      </c>
      <c r="E146" s="249">
        <f t="shared" si="3"/>
        <v>9543.82</v>
      </c>
      <c r="F146" s="249">
        <f t="shared" si="4"/>
        <v>433.81</v>
      </c>
      <c r="G146" s="250">
        <f t="shared" si="5"/>
        <v>0.36150833333333299</v>
      </c>
    </row>
    <row r="147" spans="1:7" ht="9" customHeight="1">
      <c r="A147" s="251"/>
      <c r="B147" s="252"/>
      <c r="C147" s="253"/>
      <c r="D147" s="238"/>
      <c r="E147" s="238"/>
      <c r="F147" s="238"/>
      <c r="G147" s="254"/>
    </row>
    <row r="148" spans="1:7" ht="51">
      <c r="A148" s="239" t="s">
        <v>115</v>
      </c>
      <c r="B148" s="240" t="s">
        <v>116</v>
      </c>
      <c r="C148" s="241">
        <f>SUM(C149,C154,C158,C163)</f>
        <v>2558.65</v>
      </c>
      <c r="D148" s="241">
        <f>SUM(D149,D154,D158,D163)</f>
        <v>225</v>
      </c>
      <c r="E148" s="241">
        <f>SUM(E149,E154,E158,E163)</f>
        <v>60138.83</v>
      </c>
      <c r="F148" s="241">
        <f>ROUND(F149+F154+F158+F163,2)</f>
        <v>2733.58</v>
      </c>
      <c r="G148" s="242">
        <f>SUM(G149,G154,G158,G163)</f>
        <v>6.0746292929292904</v>
      </c>
    </row>
    <row r="149" spans="1:7">
      <c r="A149" s="260"/>
      <c r="B149" s="261" t="s">
        <v>72</v>
      </c>
      <c r="C149" s="244">
        <f>SUM(C150:C153)</f>
        <v>1657.33</v>
      </c>
      <c r="D149" s="244">
        <f>SUM(D150:D153)</f>
        <v>45</v>
      </c>
      <c r="E149" s="244">
        <f>SUM(E150:E153)</f>
        <v>36245.17</v>
      </c>
      <c r="F149" s="244">
        <f>SUM(F150:F153)</f>
        <v>1647.5077272727301</v>
      </c>
      <c r="G149" s="255">
        <f>SUM(G150:G152)</f>
        <v>3.6611282828282801</v>
      </c>
    </row>
    <row r="150" spans="1:7" ht="25.5">
      <c r="A150" s="246" t="s">
        <v>117</v>
      </c>
      <c r="B150" s="247" t="s">
        <v>118</v>
      </c>
      <c r="C150" s="248">
        <f>1096.75+455.26</f>
        <v>1552.01</v>
      </c>
      <c r="D150" s="249">
        <v>22</v>
      </c>
      <c r="E150" s="249">
        <f>D150*C150</f>
        <v>34144.22</v>
      </c>
      <c r="F150" s="249">
        <f>E150/22</f>
        <v>1552.01</v>
      </c>
      <c r="G150" s="250">
        <f>F150/450</f>
        <v>3.4489111111111099</v>
      </c>
    </row>
    <row r="151" spans="1:7">
      <c r="A151" s="246" t="s">
        <v>119</v>
      </c>
      <c r="B151" s="247" t="s">
        <v>120</v>
      </c>
      <c r="C151" s="248">
        <v>95.03</v>
      </c>
      <c r="D151" s="249">
        <v>22</v>
      </c>
      <c r="E151" s="249">
        <f>D151*C151</f>
        <v>2090.66</v>
      </c>
      <c r="F151" s="249">
        <f>E151/22</f>
        <v>95.03</v>
      </c>
      <c r="G151" s="250">
        <f>F151/450</f>
        <v>0.21117777777777799</v>
      </c>
    </row>
    <row r="152" spans="1:7">
      <c r="A152" s="262" t="s">
        <v>121</v>
      </c>
      <c r="B152" s="263" t="s">
        <v>122</v>
      </c>
      <c r="C152" s="264">
        <v>10.29</v>
      </c>
      <c r="D152" s="265">
        <v>1</v>
      </c>
      <c r="E152" s="265">
        <f>D152*C152</f>
        <v>10.29</v>
      </c>
      <c r="F152" s="265">
        <f>E152/22</f>
        <v>0.46772727272727299</v>
      </c>
      <c r="G152" s="266">
        <f>F152/450</f>
        <v>1.03939393939394E-3</v>
      </c>
    </row>
    <row r="153" spans="1:7" ht="9.75" customHeight="1">
      <c r="A153" s="251"/>
      <c r="B153" s="252"/>
      <c r="C153" s="253"/>
      <c r="D153" s="238"/>
      <c r="E153" s="238"/>
      <c r="F153" s="238"/>
      <c r="G153" s="254"/>
    </row>
    <row r="154" spans="1:7" ht="14.25" customHeight="1">
      <c r="A154" s="332" t="s">
        <v>88</v>
      </c>
      <c r="B154" s="332"/>
      <c r="C154" s="244">
        <f>SUM(C155:C157)</f>
        <v>311.89999999999998</v>
      </c>
      <c r="D154" s="244">
        <f>SUM(D155:D157)</f>
        <v>66</v>
      </c>
      <c r="E154" s="244">
        <f>SUM(E155:E157)</f>
        <v>13535.06</v>
      </c>
      <c r="F154" s="244">
        <f>SUM(F155:F157)</f>
        <v>615.23</v>
      </c>
      <c r="G154" s="255">
        <f>SUM(G155:G156)</f>
        <v>1.36717777777778</v>
      </c>
    </row>
    <row r="155" spans="1:7">
      <c r="A155" s="246" t="s">
        <v>123</v>
      </c>
      <c r="B155" s="247" t="s">
        <v>124</v>
      </c>
      <c r="C155" s="248">
        <v>303.33</v>
      </c>
      <c r="D155" s="249">
        <v>44</v>
      </c>
      <c r="E155" s="249">
        <f>D155*C155</f>
        <v>13346.52</v>
      </c>
      <c r="F155" s="249">
        <f>E155/22</f>
        <v>606.66</v>
      </c>
      <c r="G155" s="250">
        <f>F155/450</f>
        <v>1.3481333333333301</v>
      </c>
    </row>
    <row r="156" spans="1:7">
      <c r="A156" s="262" t="s">
        <v>125</v>
      </c>
      <c r="B156" s="263" t="s">
        <v>126</v>
      </c>
      <c r="C156" s="264">
        <v>8.57</v>
      </c>
      <c r="D156" s="265">
        <v>22</v>
      </c>
      <c r="E156" s="265">
        <f>D156*C156</f>
        <v>188.54</v>
      </c>
      <c r="F156" s="265">
        <f>E156/22</f>
        <v>8.57</v>
      </c>
      <c r="G156" s="266">
        <f>F156/450</f>
        <v>1.9044444444444399E-2</v>
      </c>
    </row>
    <row r="157" spans="1:7" ht="9.75" customHeight="1">
      <c r="A157" s="251"/>
      <c r="B157" s="252"/>
      <c r="C157" s="253"/>
      <c r="D157" s="238"/>
      <c r="E157" s="238"/>
      <c r="F157" s="238"/>
      <c r="G157" s="254"/>
    </row>
    <row r="158" spans="1:7" ht="14.25" customHeight="1">
      <c r="A158" s="332" t="s">
        <v>94</v>
      </c>
      <c r="B158" s="332"/>
      <c r="C158" s="244">
        <f>SUM(C159:C161)</f>
        <v>516.77</v>
      </c>
      <c r="D158" s="244">
        <f>SUM(D159:D161)</f>
        <v>44</v>
      </c>
      <c r="E158" s="244">
        <f>SUM(E159:E161)</f>
        <v>9091.94</v>
      </c>
      <c r="F158" s="244">
        <f>SUM(F159:F161)</f>
        <v>413.27</v>
      </c>
      <c r="G158" s="255">
        <f>SUM(G159:G161)</f>
        <v>0.91837777777777796</v>
      </c>
    </row>
    <row r="159" spans="1:7">
      <c r="A159" s="246" t="s">
        <v>127</v>
      </c>
      <c r="B159" s="247" t="s">
        <v>128</v>
      </c>
      <c r="C159" s="248">
        <v>103.5</v>
      </c>
      <c r="D159" s="249">
        <v>0</v>
      </c>
      <c r="E159" s="249">
        <f>D159*C159</f>
        <v>0</v>
      </c>
      <c r="F159" s="249">
        <f>E159/22</f>
        <v>0</v>
      </c>
      <c r="G159" s="250">
        <f>F159/450</f>
        <v>0</v>
      </c>
    </row>
    <row r="160" spans="1:7">
      <c r="A160" s="246" t="s">
        <v>129</v>
      </c>
      <c r="B160" s="247" t="s">
        <v>130</v>
      </c>
      <c r="C160" s="264">
        <v>321.51</v>
      </c>
      <c r="D160" s="249">
        <v>22</v>
      </c>
      <c r="E160" s="249">
        <f>D160*C160</f>
        <v>7073.22</v>
      </c>
      <c r="F160" s="249">
        <f>E160/22</f>
        <v>321.51</v>
      </c>
      <c r="G160" s="250">
        <f>F160/450</f>
        <v>0.71446666666666703</v>
      </c>
    </row>
    <row r="161" spans="1:7">
      <c r="A161" s="246" t="s">
        <v>131</v>
      </c>
      <c r="B161" s="263" t="s">
        <v>132</v>
      </c>
      <c r="C161" s="264">
        <v>91.76</v>
      </c>
      <c r="D161" s="265">
        <v>22</v>
      </c>
      <c r="E161" s="265">
        <f>D161*C161</f>
        <v>2018.72</v>
      </c>
      <c r="F161" s="265">
        <f>E161/22</f>
        <v>91.76</v>
      </c>
      <c r="G161" s="266">
        <f>F161/450</f>
        <v>0.20391111111111099</v>
      </c>
    </row>
    <row r="162" spans="1:7" ht="8.25" customHeight="1">
      <c r="A162" s="259"/>
      <c r="B162" s="267"/>
      <c r="C162" s="268"/>
      <c r="D162" s="269"/>
      <c r="E162" s="269"/>
      <c r="F162" s="269"/>
      <c r="G162" s="270"/>
    </row>
    <row r="163" spans="1:7" ht="14.25" customHeight="1">
      <c r="A163" s="332" t="s">
        <v>102</v>
      </c>
      <c r="B163" s="332"/>
      <c r="C163" s="244">
        <f>SUM(C164:C166)</f>
        <v>72.650000000000006</v>
      </c>
      <c r="D163" s="244">
        <f>SUM(D164:D166)</f>
        <v>70</v>
      </c>
      <c r="E163" s="244">
        <f>SUM(E164:E166)</f>
        <v>1266.6600000000001</v>
      </c>
      <c r="F163" s="244">
        <f>SUM(F164:F166)</f>
        <v>57.575454545454498</v>
      </c>
      <c r="G163" s="255">
        <f>SUM(G164:G166)</f>
        <v>0.127945454545455</v>
      </c>
    </row>
    <row r="164" spans="1:7">
      <c r="A164" s="246" t="s">
        <v>133</v>
      </c>
      <c r="B164" s="247" t="s">
        <v>134</v>
      </c>
      <c r="C164" s="248">
        <v>37.979999999999997</v>
      </c>
      <c r="D164" s="249">
        <v>4</v>
      </c>
      <c r="E164" s="249">
        <f>D164*C164</f>
        <v>151.91999999999999</v>
      </c>
      <c r="F164" s="249">
        <f>E164/22</f>
        <v>6.9054545454545497</v>
      </c>
      <c r="G164" s="250">
        <f>F164/450</f>
        <v>1.5345454545454501E-2</v>
      </c>
    </row>
    <row r="165" spans="1:7" ht="25.5">
      <c r="A165" s="246" t="s">
        <v>135</v>
      </c>
      <c r="B165" s="247" t="s">
        <v>136</v>
      </c>
      <c r="C165" s="248">
        <v>16</v>
      </c>
      <c r="D165" s="249">
        <v>44</v>
      </c>
      <c r="E165" s="249">
        <f>D165*C165</f>
        <v>704</v>
      </c>
      <c r="F165" s="249">
        <f>E165/22</f>
        <v>32</v>
      </c>
      <c r="G165" s="250">
        <f>F165/450</f>
        <v>7.1111111111111097E-2</v>
      </c>
    </row>
    <row r="166" spans="1:7">
      <c r="A166" s="262" t="s">
        <v>137</v>
      </c>
      <c r="B166" s="263" t="s">
        <v>138</v>
      </c>
      <c r="C166" s="264">
        <v>18.670000000000002</v>
      </c>
      <c r="D166" s="265">
        <v>22</v>
      </c>
      <c r="E166" s="265">
        <f>D166*C166</f>
        <v>410.74</v>
      </c>
      <c r="F166" s="265">
        <f>E166/22</f>
        <v>18.670000000000002</v>
      </c>
      <c r="G166" s="266">
        <f>F166/450</f>
        <v>4.1488888888888902E-2</v>
      </c>
    </row>
    <row r="167" spans="1:7" ht="9.75" customHeight="1">
      <c r="A167" s="259"/>
      <c r="B167" s="271"/>
      <c r="C167" s="272"/>
      <c r="D167" s="273"/>
      <c r="E167" s="273"/>
      <c r="F167" s="273"/>
      <c r="G167" s="274"/>
    </row>
    <row r="168" spans="1:7" ht="38.25">
      <c r="A168" s="239" t="s">
        <v>139</v>
      </c>
      <c r="B168" s="240" t="s">
        <v>140</v>
      </c>
      <c r="C168" s="241">
        <f>SUM(C169,C173,C177,C180)</f>
        <v>15104.995000000001</v>
      </c>
      <c r="D168" s="241">
        <f>SUM(D169,D173,D177,D180)</f>
        <v>467</v>
      </c>
      <c r="E168" s="241">
        <f>SUM(E169,E173,E177,E180)</f>
        <v>52341.165000000001</v>
      </c>
      <c r="F168" s="241">
        <f>ROUND(F169+F173+F177+F180,2)</f>
        <v>2379.12</v>
      </c>
      <c r="G168" s="242">
        <f>SUM(G169,G173,G177,G180)</f>
        <v>0.110014545454545</v>
      </c>
    </row>
    <row r="169" spans="1:7" ht="14.25" customHeight="1">
      <c r="A169" s="332" t="s">
        <v>72</v>
      </c>
      <c r="B169" s="332"/>
      <c r="C169" s="244">
        <f>SUM(C170:C171)</f>
        <v>209.14</v>
      </c>
      <c r="D169" s="244">
        <f>SUM(D170:D171)</f>
        <v>9</v>
      </c>
      <c r="E169" s="244">
        <f>SUM(E170:E171)</f>
        <v>1288.47</v>
      </c>
      <c r="F169" s="244">
        <f>SUM(F170:F171)</f>
        <v>58.566818181818199</v>
      </c>
      <c r="G169" s="255">
        <f>SUM(G170,G171)</f>
        <v>3.9044545454545498E-2</v>
      </c>
    </row>
    <row r="170" spans="1:7">
      <c r="A170" s="246" t="s">
        <v>141</v>
      </c>
      <c r="B170" s="247" t="s">
        <v>142</v>
      </c>
      <c r="C170" s="248">
        <v>154.19</v>
      </c>
      <c r="D170" s="249">
        <v>8</v>
      </c>
      <c r="E170" s="249">
        <f>D170*C170</f>
        <v>1233.52</v>
      </c>
      <c r="F170" s="249">
        <f>E170/22</f>
        <v>56.069090909090903</v>
      </c>
      <c r="G170" s="250">
        <f>F170/1500</f>
        <v>3.73793939393939E-2</v>
      </c>
    </row>
    <row r="171" spans="1:7">
      <c r="A171" s="246" t="s">
        <v>143</v>
      </c>
      <c r="B171" s="247" t="s">
        <v>144</v>
      </c>
      <c r="C171" s="248">
        <v>54.95</v>
      </c>
      <c r="D171" s="249">
        <v>1</v>
      </c>
      <c r="E171" s="249">
        <f>D171*C171</f>
        <v>54.95</v>
      </c>
      <c r="F171" s="249">
        <f>E171/22</f>
        <v>2.4977272727272699</v>
      </c>
      <c r="G171" s="250">
        <f>F171/1500</f>
        <v>1.6651515151515201E-3</v>
      </c>
    </row>
    <row r="172" spans="1:7" ht="9.75" customHeight="1">
      <c r="A172" s="251"/>
      <c r="B172" s="252"/>
      <c r="C172" s="253"/>
      <c r="D172" s="238"/>
      <c r="E172" s="238"/>
      <c r="F172" s="238"/>
      <c r="G172" s="254"/>
    </row>
    <row r="173" spans="1:7" ht="14.25" customHeight="1">
      <c r="A173" s="333" t="s">
        <v>88</v>
      </c>
      <c r="B173" s="333"/>
      <c r="C173" s="244">
        <f>SUM(C174:C184)</f>
        <v>8447.0450000000001</v>
      </c>
      <c r="D173" s="244">
        <f>SUM(D174:D184)</f>
        <v>247</v>
      </c>
      <c r="E173" s="244">
        <f>SUM(E174:E184)</f>
        <v>27462.005000000001</v>
      </c>
      <c r="F173" s="244">
        <f>SUM(F174:F184)</f>
        <v>1248.2613636363601</v>
      </c>
      <c r="G173" s="255">
        <f>SUM(G174:G175)</f>
        <v>6.1012727272727302E-2</v>
      </c>
    </row>
    <row r="174" spans="1:7">
      <c r="A174" s="246" t="s">
        <v>145</v>
      </c>
      <c r="B174" s="247" t="s">
        <v>142</v>
      </c>
      <c r="C174" s="248">
        <v>220.83</v>
      </c>
      <c r="D174" s="249">
        <v>4</v>
      </c>
      <c r="E174" s="249">
        <f>D174*C174</f>
        <v>883.32</v>
      </c>
      <c r="F174" s="249">
        <f>E174/22</f>
        <v>40.150909090909103</v>
      </c>
      <c r="G174" s="250">
        <f>F174/1500</f>
        <v>2.6767272727272699E-2</v>
      </c>
    </row>
    <row r="175" spans="1:7">
      <c r="A175" s="246" t="s">
        <v>146</v>
      </c>
      <c r="B175" s="247" t="s">
        <v>147</v>
      </c>
      <c r="C175" s="248">
        <v>565.04999999999995</v>
      </c>
      <c r="D175" s="249">
        <v>2</v>
      </c>
      <c r="E175" s="249">
        <f>D175*C175</f>
        <v>1130.0999999999999</v>
      </c>
      <c r="F175" s="249">
        <f>E175/22</f>
        <v>51.368181818181803</v>
      </c>
      <c r="G175" s="250">
        <f>F175/1500</f>
        <v>3.4245454545454503E-2</v>
      </c>
    </row>
    <row r="176" spans="1:7" ht="8.25" customHeight="1">
      <c r="A176" s="251"/>
      <c r="B176" s="252"/>
      <c r="C176" s="253"/>
      <c r="D176" s="238"/>
      <c r="E176" s="238"/>
      <c r="F176" s="238"/>
      <c r="G176" s="254"/>
    </row>
    <row r="177" spans="1:7" ht="14.25" customHeight="1">
      <c r="A177" s="334" t="s">
        <v>94</v>
      </c>
      <c r="B177" s="334"/>
      <c r="C177" s="275">
        <f>SUM(C178:C180)</f>
        <v>3295.8049999999998</v>
      </c>
      <c r="D177" s="275">
        <f>SUM(D178:D180)</f>
        <v>106</v>
      </c>
      <c r="E177" s="275">
        <f>SUM(E178:E180)</f>
        <v>11866.745000000001</v>
      </c>
      <c r="F177" s="275">
        <f>SUM(F178:F180)</f>
        <v>539.39363636363601</v>
      </c>
      <c r="G177" s="276">
        <f>SUM(G178,G179)</f>
        <v>4.3272727272727299E-3</v>
      </c>
    </row>
    <row r="178" spans="1:7">
      <c r="A178" s="262" t="s">
        <v>148</v>
      </c>
      <c r="B178" s="263" t="s">
        <v>149</v>
      </c>
      <c r="C178" s="264">
        <v>142.80000000000001</v>
      </c>
      <c r="D178" s="265">
        <v>1</v>
      </c>
      <c r="E178" s="265">
        <f>D178*C178</f>
        <v>142.80000000000001</v>
      </c>
      <c r="F178" s="265">
        <f>E178/22</f>
        <v>6.4909090909090903</v>
      </c>
      <c r="G178" s="250">
        <f>F178/1500</f>
        <v>4.3272727272727299E-3</v>
      </c>
    </row>
    <row r="179" spans="1:7" ht="8.25" customHeight="1">
      <c r="A179" s="251"/>
      <c r="B179" s="252"/>
      <c r="C179" s="253"/>
      <c r="D179" s="238"/>
      <c r="E179" s="238"/>
      <c r="F179" s="238"/>
      <c r="G179" s="254"/>
    </row>
    <row r="180" spans="1:7" ht="14.25" customHeight="1">
      <c r="A180" s="332" t="s">
        <v>102</v>
      </c>
      <c r="B180" s="332"/>
      <c r="C180" s="244">
        <f>SUM(C181:C195)</f>
        <v>3153.0050000000001</v>
      </c>
      <c r="D180" s="244">
        <f>SUM(D181:D195)</f>
        <v>105</v>
      </c>
      <c r="E180" s="244">
        <f>SUM(E181:E195)</f>
        <v>11723.945</v>
      </c>
      <c r="F180" s="244">
        <f>SUM(F181:F195)</f>
        <v>532.90272727272702</v>
      </c>
      <c r="G180" s="255">
        <f>SUM(G181:G182)</f>
        <v>5.6299999999999996E-3</v>
      </c>
    </row>
    <row r="181" spans="1:7">
      <c r="A181" s="246" t="s">
        <v>150</v>
      </c>
      <c r="B181" s="247" t="s">
        <v>151</v>
      </c>
      <c r="C181" s="248">
        <v>82.06</v>
      </c>
      <c r="D181" s="249">
        <v>1</v>
      </c>
      <c r="E181" s="249">
        <f>D181*C181</f>
        <v>82.06</v>
      </c>
      <c r="F181" s="249">
        <f>E181/22</f>
        <v>3.73</v>
      </c>
      <c r="G181" s="250">
        <f>F181/1500</f>
        <v>2.48666666666667E-3</v>
      </c>
    </row>
    <row r="182" spans="1:7">
      <c r="A182" s="246" t="s">
        <v>152</v>
      </c>
      <c r="B182" s="247" t="s">
        <v>153</v>
      </c>
      <c r="C182" s="248">
        <v>103.73</v>
      </c>
      <c r="D182" s="249">
        <v>1</v>
      </c>
      <c r="E182" s="249">
        <f>D182*C182</f>
        <v>103.73</v>
      </c>
      <c r="F182" s="249">
        <f>E182/22</f>
        <v>4.7149999999999999</v>
      </c>
      <c r="G182" s="250">
        <f>F182/1500</f>
        <v>3.14333333333333E-3</v>
      </c>
    </row>
    <row r="183" spans="1:7" ht="8.25" customHeight="1">
      <c r="A183" s="251"/>
      <c r="B183" s="252"/>
      <c r="C183" s="253"/>
      <c r="D183" s="238"/>
      <c r="E183" s="238"/>
      <c r="F183" s="238"/>
      <c r="G183" s="254"/>
    </row>
    <row r="184" spans="1:7" ht="63.75">
      <c r="A184" s="239" t="s">
        <v>154</v>
      </c>
      <c r="B184" s="240" t="s">
        <v>155</v>
      </c>
      <c r="C184" s="241">
        <f>SUM(C185,C192)</f>
        <v>883.76499999999999</v>
      </c>
      <c r="D184" s="241">
        <f>SUM(D185,D192)</f>
        <v>27</v>
      </c>
      <c r="E184" s="241">
        <f>SUM(E185,E192)</f>
        <v>1529.3050000000001</v>
      </c>
      <c r="F184" s="241">
        <f>ROUND(F185+F192,2)</f>
        <v>69.510000000000005</v>
      </c>
      <c r="G184" s="242">
        <f>SUM(G185,G192)</f>
        <v>0.25695590909090898</v>
      </c>
    </row>
    <row r="185" spans="1:7" ht="14.25" customHeight="1">
      <c r="A185" s="332" t="s">
        <v>94</v>
      </c>
      <c r="B185" s="332"/>
      <c r="C185" s="244">
        <f>SUM(C186:C190)</f>
        <v>853.02499999999998</v>
      </c>
      <c r="D185" s="244">
        <f>SUM(D186:D190)</f>
        <v>5</v>
      </c>
      <c r="E185" s="244">
        <f>SUM(E186:E190)</f>
        <v>853.02499999999998</v>
      </c>
      <c r="F185" s="244">
        <f>SUM(F186:F190)</f>
        <v>38.7738636363636</v>
      </c>
      <c r="G185" s="255">
        <f>SUM(G186:G190)</f>
        <v>2.58492424242424E-2</v>
      </c>
    </row>
    <row r="186" spans="1:7">
      <c r="A186" s="246" t="s">
        <v>156</v>
      </c>
      <c r="B186" s="247" t="s">
        <v>157</v>
      </c>
      <c r="C186" s="248">
        <f>112.5*4</f>
        <v>450</v>
      </c>
      <c r="D186" s="249">
        <v>1</v>
      </c>
      <c r="E186" s="249">
        <f>D186*C186</f>
        <v>450</v>
      </c>
      <c r="F186" s="249">
        <f>E186/22</f>
        <v>20.454545454545499</v>
      </c>
      <c r="G186" s="250">
        <f>F186/1500</f>
        <v>1.3636363636363599E-2</v>
      </c>
    </row>
    <row r="187" spans="1:7">
      <c r="A187" s="246" t="s">
        <v>158</v>
      </c>
      <c r="B187" s="247" t="s">
        <v>159</v>
      </c>
      <c r="C187" s="248">
        <f>89.42*2</f>
        <v>178.84</v>
      </c>
      <c r="D187" s="249">
        <v>1</v>
      </c>
      <c r="E187" s="249">
        <f>D187*C187</f>
        <v>178.84</v>
      </c>
      <c r="F187" s="249">
        <f>E187/22</f>
        <v>8.1290909090909107</v>
      </c>
      <c r="G187" s="250">
        <f>F187/1500</f>
        <v>5.41939393939394E-3</v>
      </c>
    </row>
    <row r="188" spans="1:7">
      <c r="A188" s="246" t="s">
        <v>160</v>
      </c>
      <c r="B188" s="247" t="s">
        <v>161</v>
      </c>
      <c r="C188" s="248">
        <f>6.3*9.45</f>
        <v>59.534999999999997</v>
      </c>
      <c r="D188" s="249">
        <v>1</v>
      </c>
      <c r="E188" s="249">
        <f>D188*C188</f>
        <v>59.534999999999997</v>
      </c>
      <c r="F188" s="249">
        <f>E188/22</f>
        <v>2.70613636363636</v>
      </c>
      <c r="G188" s="250">
        <f>F188/1500</f>
        <v>1.8040909090909099E-3</v>
      </c>
    </row>
    <row r="189" spans="1:7" ht="25.5">
      <c r="A189" s="246" t="s">
        <v>162</v>
      </c>
      <c r="B189" s="247" t="s">
        <v>163</v>
      </c>
      <c r="C189" s="248">
        <v>97.33</v>
      </c>
      <c r="D189" s="249">
        <v>1</v>
      </c>
      <c r="E189" s="249">
        <f>D189*C189</f>
        <v>97.33</v>
      </c>
      <c r="F189" s="249">
        <f>E189/22</f>
        <v>4.4240909090909097</v>
      </c>
      <c r="G189" s="250">
        <f>F189/1500</f>
        <v>2.94939393939394E-3</v>
      </c>
    </row>
    <row r="190" spans="1:7">
      <c r="A190" s="246" t="s">
        <v>164</v>
      </c>
      <c r="B190" s="247" t="s">
        <v>165</v>
      </c>
      <c r="C190" s="248">
        <v>67.319999999999993</v>
      </c>
      <c r="D190" s="249">
        <v>1</v>
      </c>
      <c r="E190" s="249">
        <f>D190*C190</f>
        <v>67.319999999999993</v>
      </c>
      <c r="F190" s="249">
        <f>E190/22</f>
        <v>3.06</v>
      </c>
      <c r="G190" s="250">
        <f>F190/1500</f>
        <v>2.0400000000000001E-3</v>
      </c>
    </row>
    <row r="191" spans="1:7" ht="8.25" customHeight="1">
      <c r="A191" s="259"/>
      <c r="B191" s="252"/>
      <c r="C191" s="253"/>
      <c r="D191" s="238"/>
      <c r="E191" s="238"/>
      <c r="F191" s="238"/>
      <c r="G191" s="254"/>
    </row>
    <row r="192" spans="1:7" ht="14.25" customHeight="1">
      <c r="A192" s="334" t="s">
        <v>99</v>
      </c>
      <c r="B192" s="334"/>
      <c r="C192" s="275">
        <f>SUM(C193)</f>
        <v>30.74</v>
      </c>
      <c r="D192" s="275">
        <f>SUM(D193)</f>
        <v>22</v>
      </c>
      <c r="E192" s="275">
        <f>SUM(E193)</f>
        <v>676.28</v>
      </c>
      <c r="F192" s="275">
        <f>SUM(F193)</f>
        <v>30.74</v>
      </c>
      <c r="G192" s="276">
        <f>SUM(G193:G194)</f>
        <v>0.23110666666666699</v>
      </c>
    </row>
    <row r="193" spans="1:7">
      <c r="A193" s="262" t="s">
        <v>166</v>
      </c>
      <c r="B193" s="263" t="s">
        <v>167</v>
      </c>
      <c r="C193" s="264">
        <v>30.74</v>
      </c>
      <c r="D193" s="265">
        <v>22</v>
      </c>
      <c r="E193" s="265">
        <f>D193*C193</f>
        <v>676.28</v>
      </c>
      <c r="F193" s="265">
        <f>E193/22</f>
        <v>30.74</v>
      </c>
      <c r="G193" s="250">
        <f>F193/1500</f>
        <v>2.0493333333333301E-2</v>
      </c>
    </row>
    <row r="194" spans="1:7">
      <c r="A194" s="262" t="s">
        <v>168</v>
      </c>
      <c r="B194" s="247" t="s">
        <v>101</v>
      </c>
      <c r="C194" s="248">
        <f>84.4+231.52</f>
        <v>315.92</v>
      </c>
      <c r="D194" s="249">
        <v>22</v>
      </c>
      <c r="E194" s="249">
        <f>D194*C194</f>
        <v>6950.24</v>
      </c>
      <c r="F194" s="249">
        <f>E194/22</f>
        <v>315.92</v>
      </c>
      <c r="G194" s="250">
        <f>F194/1500</f>
        <v>0.21061333333333301</v>
      </c>
    </row>
    <row r="195" spans="1:7" ht="7.5" customHeight="1">
      <c r="A195" s="251"/>
      <c r="B195" s="252"/>
      <c r="C195" s="253"/>
      <c r="D195" s="238"/>
      <c r="E195" s="238"/>
      <c r="F195" s="238"/>
      <c r="G195" s="254"/>
    </row>
    <row r="196" spans="1:7" ht="51">
      <c r="A196" s="239" t="s">
        <v>169</v>
      </c>
      <c r="B196" s="240" t="s">
        <v>170</v>
      </c>
      <c r="C196" s="241">
        <f>SUM(C197,C204,C208)</f>
        <v>5106.28</v>
      </c>
      <c r="D196" s="277"/>
      <c r="E196" s="277"/>
      <c r="F196" s="241">
        <f>ROUND(F197+F204+F208,2)</f>
        <v>5131.99</v>
      </c>
      <c r="G196" s="242">
        <f>SUM(G197,G204,G208)</f>
        <v>3.4213248484848502</v>
      </c>
    </row>
    <row r="197" spans="1:7" ht="14.25" customHeight="1">
      <c r="A197" s="332" t="s">
        <v>72</v>
      </c>
      <c r="B197" s="332"/>
      <c r="C197" s="244">
        <f>SUM(C198:C203)</f>
        <v>1961.25</v>
      </c>
      <c r="D197" s="244">
        <f>SUM(D198:D203)</f>
        <v>110</v>
      </c>
      <c r="E197" s="244">
        <f>SUM(E198:E203)</f>
        <v>43147.5</v>
      </c>
      <c r="F197" s="244">
        <f>SUM(F198:F203)</f>
        <v>1961.25</v>
      </c>
      <c r="G197" s="255">
        <f>SUM(G198:G202)</f>
        <v>1.3075000000000001</v>
      </c>
    </row>
    <row r="198" spans="1:7">
      <c r="A198" s="246" t="s">
        <v>171</v>
      </c>
      <c r="B198" s="247" t="s">
        <v>172</v>
      </c>
      <c r="C198" s="248">
        <v>810.64</v>
      </c>
      <c r="D198" s="249">
        <v>22</v>
      </c>
      <c r="E198" s="249">
        <f>D198*C198</f>
        <v>17834.080000000002</v>
      </c>
      <c r="F198" s="249">
        <f>E198/22</f>
        <v>810.64</v>
      </c>
      <c r="G198" s="250">
        <f>F198/1500</f>
        <v>0.54042666666666705</v>
      </c>
    </row>
    <row r="199" spans="1:7" ht="25.5">
      <c r="A199" s="246" t="s">
        <v>173</v>
      </c>
      <c r="B199" s="247" t="s">
        <v>174</v>
      </c>
      <c r="C199" s="248">
        <v>851.13</v>
      </c>
      <c r="D199" s="249">
        <v>22</v>
      </c>
      <c r="E199" s="249">
        <f>D199*C199</f>
        <v>18724.86</v>
      </c>
      <c r="F199" s="249">
        <f>E199/22</f>
        <v>851.13</v>
      </c>
      <c r="G199" s="250">
        <f>F199/1500</f>
        <v>0.56742000000000004</v>
      </c>
    </row>
    <row r="200" spans="1:7">
      <c r="A200" s="246" t="s">
        <v>175</v>
      </c>
      <c r="B200" s="247" t="s">
        <v>176</v>
      </c>
      <c r="C200" s="248">
        <v>56.79</v>
      </c>
      <c r="D200" s="249">
        <v>22</v>
      </c>
      <c r="E200" s="249">
        <f>D200*C200</f>
        <v>1249.3800000000001</v>
      </c>
      <c r="F200" s="249">
        <f>E200/22</f>
        <v>56.79</v>
      </c>
      <c r="G200" s="250">
        <f>F200/1500</f>
        <v>3.7859999999999998E-2</v>
      </c>
    </row>
    <row r="201" spans="1:7">
      <c r="A201" s="246" t="s">
        <v>177</v>
      </c>
      <c r="B201" s="247" t="s">
        <v>178</v>
      </c>
      <c r="C201" s="248">
        <v>146.68</v>
      </c>
      <c r="D201" s="249">
        <v>22</v>
      </c>
      <c r="E201" s="249">
        <f>D201*C201</f>
        <v>3226.96</v>
      </c>
      <c r="F201" s="249">
        <f>E201/22</f>
        <v>146.68</v>
      </c>
      <c r="G201" s="250">
        <f>F201/1500</f>
        <v>9.7786666666666702E-2</v>
      </c>
    </row>
    <row r="202" spans="1:7">
      <c r="A202" s="246" t="s">
        <v>179</v>
      </c>
      <c r="B202" s="247" t="s">
        <v>180</v>
      </c>
      <c r="C202" s="248">
        <v>96.01</v>
      </c>
      <c r="D202" s="249">
        <v>22</v>
      </c>
      <c r="E202" s="249">
        <f>D202*C202</f>
        <v>2112.2199999999998</v>
      </c>
      <c r="F202" s="249">
        <f>E202/22</f>
        <v>96.01</v>
      </c>
      <c r="G202" s="250">
        <f>F202/1500</f>
        <v>6.4006666666666698E-2</v>
      </c>
    </row>
    <row r="203" spans="1:7" ht="7.5" customHeight="1">
      <c r="A203" s="259"/>
      <c r="B203" s="252"/>
      <c r="C203" s="253"/>
      <c r="D203" s="238"/>
      <c r="E203" s="238"/>
      <c r="F203" s="238"/>
      <c r="G203" s="254"/>
    </row>
    <row r="204" spans="1:7" ht="14.25" customHeight="1">
      <c r="A204" s="332" t="s">
        <v>88</v>
      </c>
      <c r="B204" s="332"/>
      <c r="C204" s="244">
        <f>SUM(C205:C206)</f>
        <v>2359.19</v>
      </c>
      <c r="D204" s="244">
        <f>SUM(D205:D206)</f>
        <v>45</v>
      </c>
      <c r="E204" s="244">
        <f>SUM(E205:E206)</f>
        <v>50922.96</v>
      </c>
      <c r="F204" s="244">
        <f>SUM(F205:F206)</f>
        <v>2314.6799999999998</v>
      </c>
      <c r="G204" s="255">
        <f>SUM(G205:G206)</f>
        <v>1.54312</v>
      </c>
    </row>
    <row r="205" spans="1:7">
      <c r="A205" s="246" t="s">
        <v>181</v>
      </c>
      <c r="B205" s="247" t="s">
        <v>182</v>
      </c>
      <c r="C205" s="248">
        <v>1129.3900000000001</v>
      </c>
      <c r="D205" s="249">
        <v>44</v>
      </c>
      <c r="E205" s="249">
        <f>D205*C205</f>
        <v>49693.16</v>
      </c>
      <c r="F205" s="249">
        <f>E205/22</f>
        <v>2258.7800000000002</v>
      </c>
      <c r="G205" s="250">
        <f>F205/1500</f>
        <v>1.5058533333333299</v>
      </c>
    </row>
    <row r="206" spans="1:7">
      <c r="A206" s="246" t="s">
        <v>183</v>
      </c>
      <c r="B206" s="247" t="s">
        <v>184</v>
      </c>
      <c r="C206" s="248">
        <v>1229.8</v>
      </c>
      <c r="D206" s="249">
        <v>1</v>
      </c>
      <c r="E206" s="249">
        <f>D206*C206</f>
        <v>1229.8</v>
      </c>
      <c r="F206" s="249">
        <f>E206/22</f>
        <v>55.9</v>
      </c>
      <c r="G206" s="250">
        <f>F206/1500</f>
        <v>3.7266666666666698E-2</v>
      </c>
    </row>
    <row r="207" spans="1:7" ht="8.25" customHeight="1">
      <c r="A207" s="251"/>
      <c r="B207" s="252"/>
      <c r="C207" s="253"/>
      <c r="D207" s="238"/>
      <c r="E207" s="238"/>
      <c r="F207" s="238"/>
      <c r="G207" s="254"/>
    </row>
    <row r="208" spans="1:7" ht="14.25" customHeight="1">
      <c r="A208" s="332" t="s">
        <v>102</v>
      </c>
      <c r="B208" s="332"/>
      <c r="C208" s="244">
        <f>SUM(C209:C211)</f>
        <v>785.84</v>
      </c>
      <c r="D208" s="244">
        <f>SUM(D209:D211)</f>
        <v>46</v>
      </c>
      <c r="E208" s="244">
        <f>SUM(E209:E211)</f>
        <v>18833.259999999998</v>
      </c>
      <c r="F208" s="244">
        <f>SUM(F209:F211)</f>
        <v>856.05727272727302</v>
      </c>
      <c r="G208" s="255">
        <f>SUM(G209:G210)</f>
        <v>0.57070484848484904</v>
      </c>
    </row>
    <row r="209" spans="1:7">
      <c r="A209" s="246" t="s">
        <v>185</v>
      </c>
      <c r="B209" s="247" t="s">
        <v>186</v>
      </c>
      <c r="C209" s="248">
        <v>410.99</v>
      </c>
      <c r="D209" s="249">
        <v>44</v>
      </c>
      <c r="E209" s="249">
        <f>D209*C209</f>
        <v>18083.560000000001</v>
      </c>
      <c r="F209" s="249">
        <f>E209/22</f>
        <v>821.98</v>
      </c>
      <c r="G209" s="250">
        <f>F209/1500</f>
        <v>0.54798666666666696</v>
      </c>
    </row>
    <row r="210" spans="1:7">
      <c r="A210" s="246" t="s">
        <v>187</v>
      </c>
      <c r="B210" s="247" t="s">
        <v>188</v>
      </c>
      <c r="C210" s="248">
        <v>374.85</v>
      </c>
      <c r="D210" s="249">
        <v>2</v>
      </c>
      <c r="E210" s="249">
        <f>D210*C210</f>
        <v>749.7</v>
      </c>
      <c r="F210" s="249">
        <f>E210/22</f>
        <v>34.0772727272727</v>
      </c>
      <c r="G210" s="250">
        <f>F210/1500</f>
        <v>2.2718181818181801E-2</v>
      </c>
    </row>
    <row r="211" spans="1:7" ht="9" customHeight="1">
      <c r="A211" s="251"/>
      <c r="B211" s="252"/>
      <c r="C211" s="253"/>
      <c r="D211" s="238"/>
      <c r="E211" s="238"/>
      <c r="F211" s="238"/>
      <c r="G211" s="254"/>
    </row>
    <row r="212" spans="1:7" ht="63.75">
      <c r="A212" s="239" t="s">
        <v>189</v>
      </c>
      <c r="B212" s="240" t="s">
        <v>190</v>
      </c>
      <c r="C212" s="241">
        <f>SUM(C213,C220,C224,C230,C234)</f>
        <v>517.05999999999995</v>
      </c>
      <c r="D212" s="277"/>
      <c r="E212" s="277"/>
      <c r="F212" s="241">
        <f>ROUND(F213+F220+F224+F230+F234,2)</f>
        <v>1153.1600000000001</v>
      </c>
      <c r="G212" s="242">
        <f>SUM(G213,G220,G224,G230,G234)</f>
        <v>5.7657999999999996</v>
      </c>
    </row>
    <row r="213" spans="1:7" ht="14.25" customHeight="1">
      <c r="A213" s="332" t="s">
        <v>72</v>
      </c>
      <c r="B213" s="332"/>
      <c r="C213" s="244">
        <f>SUM(C214:C219)</f>
        <v>261.8</v>
      </c>
      <c r="D213" s="244">
        <f>SUM(D214:D219)</f>
        <v>220</v>
      </c>
      <c r="E213" s="244">
        <f>SUM(E214:E219)</f>
        <v>13322.76</v>
      </c>
      <c r="F213" s="244">
        <f>SUM(F214:F219)</f>
        <v>605.58000000000004</v>
      </c>
      <c r="G213" s="255">
        <f>SUM(G214:G218)</f>
        <v>3.0278999999999998</v>
      </c>
    </row>
    <row r="214" spans="1:7" ht="25.5">
      <c r="A214" s="246" t="s">
        <v>191</v>
      </c>
      <c r="B214" s="247" t="s">
        <v>192</v>
      </c>
      <c r="C214" s="248">
        <f>100.74</f>
        <v>100.74</v>
      </c>
      <c r="D214" s="249">
        <v>66</v>
      </c>
      <c r="E214" s="249">
        <f>D214*C214</f>
        <v>6648.84</v>
      </c>
      <c r="F214" s="249">
        <f>E214/22</f>
        <v>302.22000000000003</v>
      </c>
      <c r="G214" s="250">
        <f>F214/200</f>
        <v>1.5111000000000001</v>
      </c>
    </row>
    <row r="215" spans="1:7" ht="25.5">
      <c r="A215" s="246" t="s">
        <v>193</v>
      </c>
      <c r="B215" s="247" t="s">
        <v>194</v>
      </c>
      <c r="C215" s="248">
        <v>89.49</v>
      </c>
      <c r="D215" s="249">
        <v>44</v>
      </c>
      <c r="E215" s="249">
        <f>D215*C215</f>
        <v>3937.56</v>
      </c>
      <c r="F215" s="249">
        <f>E215/22</f>
        <v>178.98</v>
      </c>
      <c r="G215" s="250">
        <f>F215/200</f>
        <v>0.89490000000000003</v>
      </c>
    </row>
    <row r="216" spans="1:7">
      <c r="A216" s="246" t="s">
        <v>195</v>
      </c>
      <c r="B216" s="247" t="s">
        <v>85</v>
      </c>
      <c r="C216" s="248">
        <v>18.760000000000002</v>
      </c>
      <c r="D216" s="249">
        <v>22</v>
      </c>
      <c r="E216" s="249">
        <f>D216*C216</f>
        <v>412.72</v>
      </c>
      <c r="F216" s="249">
        <f>E216/22</f>
        <v>18.760000000000002</v>
      </c>
      <c r="G216" s="250">
        <f>F216/200</f>
        <v>9.3799999999999994E-2</v>
      </c>
    </row>
    <row r="217" spans="1:7">
      <c r="A217" s="246" t="s">
        <v>196</v>
      </c>
      <c r="B217" s="247" t="s">
        <v>197</v>
      </c>
      <c r="C217" s="248">
        <v>32.81</v>
      </c>
      <c r="D217" s="249">
        <v>44</v>
      </c>
      <c r="E217" s="249">
        <f>D217*C217</f>
        <v>1443.64</v>
      </c>
      <c r="F217" s="249">
        <f>E217/22</f>
        <v>65.62</v>
      </c>
      <c r="G217" s="250">
        <f>F217/200</f>
        <v>0.3281</v>
      </c>
    </row>
    <row r="218" spans="1:7">
      <c r="A218" s="246" t="s">
        <v>198</v>
      </c>
      <c r="B218" s="247" t="s">
        <v>87</v>
      </c>
      <c r="C218" s="248">
        <v>20</v>
      </c>
      <c r="D218" s="249">
        <v>44</v>
      </c>
      <c r="E218" s="249">
        <f>D218*C218</f>
        <v>880</v>
      </c>
      <c r="F218" s="249">
        <f>E218/22</f>
        <v>40</v>
      </c>
      <c r="G218" s="250">
        <f>F218/200</f>
        <v>0.2</v>
      </c>
    </row>
    <row r="219" spans="1:7" ht="7.5" customHeight="1">
      <c r="A219" s="251"/>
      <c r="B219" s="252"/>
      <c r="C219" s="253"/>
      <c r="D219" s="238"/>
      <c r="E219" s="238"/>
      <c r="F219" s="238"/>
      <c r="G219" s="254"/>
    </row>
    <row r="220" spans="1:7" ht="14.25" customHeight="1">
      <c r="A220" s="332" t="s">
        <v>88</v>
      </c>
      <c r="B220" s="332"/>
      <c r="C220" s="244">
        <f>SUM(C221:C223)</f>
        <v>111.06</v>
      </c>
      <c r="D220" s="244">
        <f>SUM(D221:D223)</f>
        <v>88</v>
      </c>
      <c r="E220" s="244">
        <f>SUM(E221:E223)</f>
        <v>4886.6400000000003</v>
      </c>
      <c r="F220" s="244">
        <f>SUM(F221:F223)</f>
        <v>222.12</v>
      </c>
      <c r="G220" s="255">
        <f>SUM(G221:G222)</f>
        <v>1.1106</v>
      </c>
    </row>
    <row r="221" spans="1:7">
      <c r="A221" s="246" t="s">
        <v>199</v>
      </c>
      <c r="B221" s="247" t="s">
        <v>200</v>
      </c>
      <c r="C221" s="248">
        <v>111.06</v>
      </c>
      <c r="D221" s="249">
        <v>44</v>
      </c>
      <c r="E221" s="249">
        <f>D221*C221</f>
        <v>4886.6400000000003</v>
      </c>
      <c r="F221" s="249">
        <f>E221/22</f>
        <v>222.12</v>
      </c>
      <c r="G221" s="250">
        <f>F221/200</f>
        <v>1.1106</v>
      </c>
    </row>
    <row r="222" spans="1:7">
      <c r="A222" s="246" t="s">
        <v>201</v>
      </c>
      <c r="B222" s="247" t="s">
        <v>124</v>
      </c>
      <c r="C222" s="248">
        <v>0</v>
      </c>
      <c r="D222" s="249">
        <v>44</v>
      </c>
      <c r="E222" s="249">
        <f>D222*C222</f>
        <v>0</v>
      </c>
      <c r="F222" s="249">
        <f>E222/22</f>
        <v>0</v>
      </c>
      <c r="G222" s="250">
        <f>F222/200</f>
        <v>0</v>
      </c>
    </row>
    <row r="223" spans="1:7" ht="7.5" customHeight="1">
      <c r="A223" s="251"/>
      <c r="B223" s="252"/>
      <c r="C223" s="253"/>
      <c r="D223" s="238"/>
      <c r="E223" s="238"/>
      <c r="F223" s="238"/>
      <c r="G223" s="254"/>
    </row>
    <row r="224" spans="1:7" ht="14.25" customHeight="1">
      <c r="A224" s="332" t="s">
        <v>94</v>
      </c>
      <c r="B224" s="332"/>
      <c r="C224" s="244">
        <f>SUM(C225:C228)</f>
        <v>28.02</v>
      </c>
      <c r="D224" s="244">
        <f>SUM(D225:D228)</f>
        <v>110</v>
      </c>
      <c r="E224" s="244">
        <f>SUM(E225:E228)</f>
        <v>749.32</v>
      </c>
      <c r="F224" s="244">
        <f>SUM(F225:F228)</f>
        <v>34.06</v>
      </c>
      <c r="G224" s="255">
        <f>SUM(G225:G228)</f>
        <v>0.17030000000000001</v>
      </c>
    </row>
    <row r="225" spans="1:9">
      <c r="A225" s="246" t="s">
        <v>202</v>
      </c>
      <c r="B225" s="247" t="s">
        <v>96</v>
      </c>
      <c r="C225" s="248">
        <v>6.04</v>
      </c>
      <c r="D225" s="249">
        <v>44</v>
      </c>
      <c r="E225" s="249">
        <f>D225*C225</f>
        <v>265.76</v>
      </c>
      <c r="F225" s="249">
        <f>E225/22</f>
        <v>12.08</v>
      </c>
      <c r="G225" s="250">
        <f>F225/200</f>
        <v>6.0400000000000002E-2</v>
      </c>
    </row>
    <row r="226" spans="1:9">
      <c r="A226" s="246" t="s">
        <v>203</v>
      </c>
      <c r="B226" s="247" t="s">
        <v>130</v>
      </c>
      <c r="C226" s="248">
        <v>4.53</v>
      </c>
      <c r="D226" s="249">
        <v>22</v>
      </c>
      <c r="E226" s="249">
        <f>D226*C226</f>
        <v>99.66</v>
      </c>
      <c r="F226" s="249">
        <f>E226/22</f>
        <v>4.53</v>
      </c>
      <c r="G226" s="250">
        <f>F226/200</f>
        <v>2.265E-2</v>
      </c>
    </row>
    <row r="227" spans="1:9">
      <c r="A227" s="246" t="s">
        <v>204</v>
      </c>
      <c r="B227" s="247" t="s">
        <v>132</v>
      </c>
      <c r="C227" s="248">
        <v>8.6999999999999993</v>
      </c>
      <c r="D227" s="249">
        <v>22</v>
      </c>
      <c r="E227" s="249">
        <f>D227*C227</f>
        <v>191.4</v>
      </c>
      <c r="F227" s="249">
        <f>E227/22</f>
        <v>8.6999999999999993</v>
      </c>
      <c r="G227" s="250">
        <f>F227/200</f>
        <v>4.3499999999999997E-2</v>
      </c>
    </row>
    <row r="228" spans="1:9">
      <c r="A228" s="246" t="s">
        <v>205</v>
      </c>
      <c r="B228" s="247" t="s">
        <v>149</v>
      </c>
      <c r="C228" s="248">
        <v>8.75</v>
      </c>
      <c r="D228" s="249">
        <v>22</v>
      </c>
      <c r="E228" s="249">
        <f>D228*C228</f>
        <v>192.5</v>
      </c>
      <c r="F228" s="249">
        <f>E228/22</f>
        <v>8.75</v>
      </c>
      <c r="G228" s="250">
        <f>F228/200</f>
        <v>4.3749999999999997E-2</v>
      </c>
    </row>
    <row r="229" spans="1:9" ht="8.25" customHeight="1">
      <c r="A229" s="259"/>
      <c r="B229" s="252"/>
      <c r="C229" s="253"/>
      <c r="D229" s="238"/>
      <c r="E229" s="238"/>
      <c r="F229" s="238"/>
      <c r="G229" s="254"/>
    </row>
    <row r="230" spans="1:9" ht="14.25" customHeight="1">
      <c r="A230" s="332" t="s">
        <v>99</v>
      </c>
      <c r="B230" s="332"/>
      <c r="C230" s="244">
        <f>SUM(C231:C232)</f>
        <v>21.57</v>
      </c>
      <c r="D230" s="244">
        <f>SUM(D231:D232)</f>
        <v>66</v>
      </c>
      <c r="E230" s="244">
        <f>SUM(E231:E232)</f>
        <v>720.94</v>
      </c>
      <c r="F230" s="244">
        <f>SUM(F231:F232)</f>
        <v>32.770000000000003</v>
      </c>
      <c r="G230" s="255">
        <f>SUM(G231:G232)</f>
        <v>0.16385</v>
      </c>
    </row>
    <row r="231" spans="1:9">
      <c r="A231" s="246" t="s">
        <v>206</v>
      </c>
      <c r="B231" s="247" t="s">
        <v>101</v>
      </c>
      <c r="C231" s="248">
        <v>11.2</v>
      </c>
      <c r="D231" s="249">
        <v>44</v>
      </c>
      <c r="E231" s="249">
        <f>D231*C231</f>
        <v>492.8</v>
      </c>
      <c r="F231" s="249">
        <f>E231/22</f>
        <v>22.4</v>
      </c>
      <c r="G231" s="250">
        <f>F231/200</f>
        <v>0.112</v>
      </c>
    </row>
    <row r="232" spans="1:9">
      <c r="A232" s="246" t="s">
        <v>207</v>
      </c>
      <c r="B232" s="247" t="s">
        <v>167</v>
      </c>
      <c r="C232" s="248">
        <v>10.37</v>
      </c>
      <c r="D232" s="249">
        <v>22</v>
      </c>
      <c r="E232" s="249">
        <f>D232*C232</f>
        <v>228.14</v>
      </c>
      <c r="F232" s="249">
        <f>E232/22</f>
        <v>10.37</v>
      </c>
      <c r="G232" s="250">
        <f>F232/200</f>
        <v>5.185E-2</v>
      </c>
    </row>
    <row r="233" spans="1:9" ht="8.25" customHeight="1">
      <c r="A233" s="251"/>
      <c r="B233" s="252"/>
      <c r="C233" s="253"/>
      <c r="D233" s="238"/>
      <c r="E233" s="238"/>
      <c r="F233" s="238"/>
      <c r="G233" s="254"/>
    </row>
    <row r="234" spans="1:9" ht="14.25" customHeight="1">
      <c r="A234" s="332" t="s">
        <v>102</v>
      </c>
      <c r="B234" s="332"/>
      <c r="C234" s="244">
        <f>SUM(C235:C237)</f>
        <v>94.61</v>
      </c>
      <c r="D234" s="244">
        <f>SUM(D235:D237)</f>
        <v>154</v>
      </c>
      <c r="E234" s="244">
        <f>SUM(E235:E237)</f>
        <v>5689.86</v>
      </c>
      <c r="F234" s="244">
        <f>SUM(F235:F237)</f>
        <v>258.63</v>
      </c>
      <c r="G234" s="255">
        <f>SUM(G235:G237)</f>
        <v>1.29315</v>
      </c>
    </row>
    <row r="235" spans="1:9">
      <c r="A235" s="246" t="s">
        <v>208</v>
      </c>
      <c r="B235" s="247" t="s">
        <v>110</v>
      </c>
      <c r="C235" s="248">
        <v>12.6</v>
      </c>
      <c r="D235" s="249">
        <v>22</v>
      </c>
      <c r="E235" s="249">
        <f>D235*C235</f>
        <v>277.2</v>
      </c>
      <c r="F235" s="249">
        <f>E235/22</f>
        <v>12.6</v>
      </c>
      <c r="G235" s="250">
        <f>F235/200</f>
        <v>6.3E-2</v>
      </c>
    </row>
    <row r="236" spans="1:9">
      <c r="A236" s="246" t="s">
        <v>209</v>
      </c>
      <c r="B236" s="247" t="s">
        <v>210</v>
      </c>
      <c r="C236" s="248">
        <v>79.849999999999994</v>
      </c>
      <c r="D236" s="249">
        <v>66</v>
      </c>
      <c r="E236" s="249">
        <f>D236*C236</f>
        <v>5270.1</v>
      </c>
      <c r="F236" s="249">
        <f>E236/22</f>
        <v>239.55</v>
      </c>
      <c r="G236" s="250">
        <f>F236/200</f>
        <v>1.1977500000000001</v>
      </c>
      <c r="I236" s="281"/>
    </row>
    <row r="237" spans="1:9">
      <c r="A237" s="246" t="s">
        <v>211</v>
      </c>
      <c r="B237" s="247" t="s">
        <v>212</v>
      </c>
      <c r="C237" s="248">
        <v>2.16</v>
      </c>
      <c r="D237" s="249">
        <v>66</v>
      </c>
      <c r="E237" s="249">
        <f>D237*C237</f>
        <v>142.56</v>
      </c>
      <c r="F237" s="249">
        <f>E237/22</f>
        <v>6.48</v>
      </c>
      <c r="G237" s="250">
        <f>F237/200</f>
        <v>3.2399999999999998E-2</v>
      </c>
    </row>
    <row r="238" spans="1:9">
      <c r="A238" s="278"/>
      <c r="B238" s="247"/>
      <c r="C238" s="248"/>
      <c r="D238" s="249"/>
      <c r="E238" s="249"/>
      <c r="F238" s="249"/>
      <c r="G238" s="250"/>
    </row>
    <row r="239" spans="1:9">
      <c r="A239" s="234" t="s">
        <v>213</v>
      </c>
      <c r="B239" s="279" t="s">
        <v>214</v>
      </c>
      <c r="C239" s="280">
        <f>SUM(C240,C265,C275,C291,C315)</f>
        <v>92216.34</v>
      </c>
      <c r="D239" s="280">
        <f>SUM(D240,D265,D275,D291,D315)</f>
        <v>524.91666666666697</v>
      </c>
      <c r="E239" s="280">
        <f>SUM(E240,E265,E275,E291,E315)</f>
        <v>566385.96083333297</v>
      </c>
      <c r="F239" s="280">
        <f>SUM(F240,F265,F275,F291,F315)</f>
        <v>25744.82</v>
      </c>
      <c r="G239" s="237">
        <f>ROUNDUP(SUM(G240,G265,G275,G291,G315),0)</f>
        <v>7</v>
      </c>
    </row>
    <row r="240" spans="1:9" ht="51">
      <c r="A240" s="239" t="s">
        <v>215</v>
      </c>
      <c r="B240" s="240" t="s">
        <v>216</v>
      </c>
      <c r="C240" s="241">
        <f>SUM(C241,C246,C249,C257,C260)</f>
        <v>4505.6499999999996</v>
      </c>
      <c r="D240" s="241">
        <f>SUM(D241,D246,D249,D257,D260)</f>
        <v>308</v>
      </c>
      <c r="E240" s="241">
        <f>SUM(E241,E246,E249,E257,E260)</f>
        <v>99124.3</v>
      </c>
      <c r="F240" s="241">
        <f>ROUND(F241+F246+F249+F257+F260,2)</f>
        <v>4505.6499999999996</v>
      </c>
      <c r="G240" s="242">
        <f>SUM(G241,G246,G249,G257,G260)</f>
        <v>2.5031388888888899</v>
      </c>
    </row>
    <row r="241" spans="1:7" ht="14.25" customHeight="1">
      <c r="A241" s="332" t="s">
        <v>72</v>
      </c>
      <c r="B241" s="332"/>
      <c r="C241" s="244">
        <f>SUM(C242:C245)</f>
        <v>1583.64</v>
      </c>
      <c r="D241" s="244">
        <f>SUM(D242:D245)</f>
        <v>66</v>
      </c>
      <c r="E241" s="244">
        <f>SUM(E242:E245)</f>
        <v>34840.080000000002</v>
      </c>
      <c r="F241" s="244">
        <f>SUM(F242:F245)</f>
        <v>1583.64</v>
      </c>
      <c r="G241" s="255">
        <f>SUM(G242:G244)</f>
        <v>0.87980000000000003</v>
      </c>
    </row>
    <row r="242" spans="1:7">
      <c r="A242" s="246" t="s">
        <v>217</v>
      </c>
      <c r="B242" s="247" t="s">
        <v>218</v>
      </c>
      <c r="C242" s="248">
        <v>1307.23</v>
      </c>
      <c r="D242" s="249">
        <v>22</v>
      </c>
      <c r="E242" s="249">
        <f>D242*C242</f>
        <v>28759.06</v>
      </c>
      <c r="F242" s="249">
        <f>E242/22</f>
        <v>1307.23</v>
      </c>
      <c r="G242" s="250">
        <f>F242/1800</f>
        <v>0.72623888888888899</v>
      </c>
    </row>
    <row r="243" spans="1:7" ht="25.5">
      <c r="A243" s="246" t="s">
        <v>219</v>
      </c>
      <c r="B243" s="247" t="s">
        <v>220</v>
      </c>
      <c r="C243" s="248">
        <v>159.84</v>
      </c>
      <c r="D243" s="249">
        <v>22</v>
      </c>
      <c r="E243" s="249">
        <f>D243*C243</f>
        <v>3516.48</v>
      </c>
      <c r="F243" s="249">
        <f>E243/22</f>
        <v>159.84</v>
      </c>
      <c r="G243" s="250">
        <f>F243/1800</f>
        <v>8.8800000000000004E-2</v>
      </c>
    </row>
    <row r="244" spans="1:7" ht="25.5">
      <c r="A244" s="246" t="s">
        <v>221</v>
      </c>
      <c r="B244" s="247" t="s">
        <v>222</v>
      </c>
      <c r="C244" s="248">
        <v>116.57</v>
      </c>
      <c r="D244" s="249">
        <v>22</v>
      </c>
      <c r="E244" s="249">
        <f>D244*C244</f>
        <v>2564.54</v>
      </c>
      <c r="F244" s="249">
        <f>E244/22</f>
        <v>116.57</v>
      </c>
      <c r="G244" s="250">
        <f>F244/1800</f>
        <v>6.4761111111111103E-2</v>
      </c>
    </row>
    <row r="245" spans="1:7" ht="9.75" customHeight="1">
      <c r="A245" s="251"/>
      <c r="B245" s="252"/>
      <c r="C245" s="253"/>
      <c r="D245" s="238"/>
      <c r="E245" s="238"/>
      <c r="F245" s="238"/>
      <c r="G245" s="254"/>
    </row>
    <row r="246" spans="1:7" ht="14.25" customHeight="1">
      <c r="A246" s="332" t="s">
        <v>88</v>
      </c>
      <c r="B246" s="332"/>
      <c r="C246" s="244">
        <f>SUM(C247:C248)</f>
        <v>1091.3900000000001</v>
      </c>
      <c r="D246" s="244">
        <f>SUM(D247:D248)</f>
        <v>22</v>
      </c>
      <c r="E246" s="244">
        <f>SUM(E247:E248)</f>
        <v>24010.58</v>
      </c>
      <c r="F246" s="244">
        <f>SUM(F247:F248)</f>
        <v>1091.3900000000001</v>
      </c>
      <c r="G246" s="255">
        <f>SUM(G247)</f>
        <v>0.60632777777777802</v>
      </c>
    </row>
    <row r="247" spans="1:7">
      <c r="A247" s="246" t="s">
        <v>223</v>
      </c>
      <c r="B247" s="247" t="s">
        <v>224</v>
      </c>
      <c r="C247" s="248">
        <v>1091.3900000000001</v>
      </c>
      <c r="D247" s="249">
        <v>22</v>
      </c>
      <c r="E247" s="249">
        <f>D247*C247</f>
        <v>24010.58</v>
      </c>
      <c r="F247" s="249">
        <f>E247/22</f>
        <v>1091.3900000000001</v>
      </c>
      <c r="G247" s="250">
        <f>F247/1800</f>
        <v>0.60632777777777802</v>
      </c>
    </row>
    <row r="248" spans="1:7" ht="7.5" customHeight="1">
      <c r="A248" s="251"/>
      <c r="B248" s="252"/>
      <c r="C248" s="253"/>
      <c r="D248" s="238"/>
      <c r="E248" s="238"/>
      <c r="F248" s="238"/>
      <c r="G248" s="254"/>
    </row>
    <row r="249" spans="1:7" ht="14.25" customHeight="1">
      <c r="A249" s="332" t="s">
        <v>94</v>
      </c>
      <c r="B249" s="332"/>
      <c r="C249" s="244">
        <f>SUM(C250:C256)</f>
        <v>769.96</v>
      </c>
      <c r="D249" s="244">
        <f>SUM(D250:D256)</f>
        <v>132</v>
      </c>
      <c r="E249" s="244">
        <f>SUM(E250:E256)</f>
        <v>16939.12</v>
      </c>
      <c r="F249" s="244">
        <f>SUM(F250:F256)</f>
        <v>769.96</v>
      </c>
      <c r="G249" s="255">
        <f>SUM(G250:G255)</f>
        <v>0.427755555555556</v>
      </c>
    </row>
    <row r="250" spans="1:7" ht="25.5">
      <c r="A250" s="246" t="s">
        <v>225</v>
      </c>
      <c r="B250" s="247" t="s">
        <v>226</v>
      </c>
      <c r="C250" s="248">
        <v>37.799999999999997</v>
      </c>
      <c r="D250" s="249">
        <v>22</v>
      </c>
      <c r="E250" s="249">
        <f t="shared" ref="E250:E255" si="6">D250*C250</f>
        <v>831.6</v>
      </c>
      <c r="F250" s="249">
        <f t="shared" ref="F250:F255" si="7">E250/22</f>
        <v>37.799999999999997</v>
      </c>
      <c r="G250" s="250">
        <f t="shared" ref="G250:G255" si="8">F250/1800</f>
        <v>2.1000000000000001E-2</v>
      </c>
    </row>
    <row r="251" spans="1:7" ht="25.5">
      <c r="A251" s="246" t="s">
        <v>227</v>
      </c>
      <c r="B251" s="247" t="s">
        <v>228</v>
      </c>
      <c r="C251" s="248">
        <v>412.8</v>
      </c>
      <c r="D251" s="249">
        <v>22</v>
      </c>
      <c r="E251" s="249">
        <f t="shared" si="6"/>
        <v>9081.6</v>
      </c>
      <c r="F251" s="249">
        <f t="shared" si="7"/>
        <v>412.8</v>
      </c>
      <c r="G251" s="250">
        <f t="shared" si="8"/>
        <v>0.229333333333333</v>
      </c>
    </row>
    <row r="252" spans="1:7" ht="25.5">
      <c r="A252" s="246" t="s">
        <v>229</v>
      </c>
      <c r="B252" s="247" t="s">
        <v>230</v>
      </c>
      <c r="C252" s="248">
        <v>66.3</v>
      </c>
      <c r="D252" s="249">
        <v>22</v>
      </c>
      <c r="E252" s="249">
        <f t="shared" si="6"/>
        <v>1458.6</v>
      </c>
      <c r="F252" s="249">
        <f t="shared" si="7"/>
        <v>66.3</v>
      </c>
      <c r="G252" s="250">
        <f t="shared" si="8"/>
        <v>3.6833333333333301E-2</v>
      </c>
    </row>
    <row r="253" spans="1:7" ht="25.5">
      <c r="A253" s="246" t="s">
        <v>231</v>
      </c>
      <c r="B253" s="247" t="s">
        <v>232</v>
      </c>
      <c r="C253" s="248">
        <v>73.2</v>
      </c>
      <c r="D253" s="249">
        <v>22</v>
      </c>
      <c r="E253" s="249">
        <f t="shared" si="6"/>
        <v>1610.4</v>
      </c>
      <c r="F253" s="249">
        <f t="shared" si="7"/>
        <v>73.2</v>
      </c>
      <c r="G253" s="250">
        <f t="shared" si="8"/>
        <v>4.0666666666666698E-2</v>
      </c>
    </row>
    <row r="254" spans="1:7" ht="25.5">
      <c r="A254" s="246" t="s">
        <v>233</v>
      </c>
      <c r="B254" s="247" t="s">
        <v>234</v>
      </c>
      <c r="C254" s="248">
        <v>133.26</v>
      </c>
      <c r="D254" s="249">
        <v>22</v>
      </c>
      <c r="E254" s="249">
        <f t="shared" si="6"/>
        <v>2931.72</v>
      </c>
      <c r="F254" s="249">
        <f t="shared" si="7"/>
        <v>133.26</v>
      </c>
      <c r="G254" s="250">
        <f t="shared" si="8"/>
        <v>7.4033333333333298E-2</v>
      </c>
    </row>
    <row r="255" spans="1:7" ht="25.5">
      <c r="A255" s="246" t="s">
        <v>235</v>
      </c>
      <c r="B255" s="247" t="s">
        <v>236</v>
      </c>
      <c r="C255" s="248">
        <v>46.6</v>
      </c>
      <c r="D255" s="249">
        <v>22</v>
      </c>
      <c r="E255" s="249">
        <f t="shared" si="6"/>
        <v>1025.2</v>
      </c>
      <c r="F255" s="249">
        <f t="shared" si="7"/>
        <v>46.6</v>
      </c>
      <c r="G255" s="250">
        <f t="shared" si="8"/>
        <v>2.5888888888888899E-2</v>
      </c>
    </row>
    <row r="256" spans="1:7" ht="8.25" customHeight="1">
      <c r="A256" s="251"/>
      <c r="B256" s="252"/>
      <c r="C256" s="253"/>
      <c r="D256" s="238"/>
      <c r="E256" s="238"/>
      <c r="F256" s="238"/>
      <c r="G256" s="254"/>
    </row>
    <row r="257" spans="1:7" ht="14.25" customHeight="1">
      <c r="A257" s="332" t="s">
        <v>99</v>
      </c>
      <c r="B257" s="332"/>
      <c r="C257" s="244">
        <f>SUM(C258)</f>
        <v>260.62</v>
      </c>
      <c r="D257" s="244">
        <f>SUM(D258)</f>
        <v>22</v>
      </c>
      <c r="E257" s="244">
        <f>SUM(E258)</f>
        <v>5733.64</v>
      </c>
      <c r="F257" s="244">
        <f>SUM(F258)</f>
        <v>260.62</v>
      </c>
      <c r="G257" s="255">
        <f>SUM(G258)</f>
        <v>0.14478888888888899</v>
      </c>
    </row>
    <row r="258" spans="1:7">
      <c r="A258" s="246" t="s">
        <v>237</v>
      </c>
      <c r="B258" s="247" t="s">
        <v>238</v>
      </c>
      <c r="C258" s="248">
        <v>260.62</v>
      </c>
      <c r="D258" s="249">
        <v>22</v>
      </c>
      <c r="E258" s="249">
        <f>D258*C258</f>
        <v>5733.64</v>
      </c>
      <c r="F258" s="249">
        <f>E258/22</f>
        <v>260.62</v>
      </c>
      <c r="G258" s="250">
        <f>F258/1800</f>
        <v>0.14478888888888899</v>
      </c>
    </row>
    <row r="259" spans="1:7" ht="7.5" customHeight="1">
      <c r="A259" s="251"/>
      <c r="B259" s="252"/>
      <c r="C259" s="253"/>
      <c r="D259" s="238"/>
      <c r="E259" s="238"/>
      <c r="F259" s="238"/>
      <c r="G259" s="254"/>
    </row>
    <row r="260" spans="1:7" ht="14.25" customHeight="1">
      <c r="A260" s="332" t="s">
        <v>102</v>
      </c>
      <c r="B260" s="332"/>
      <c r="C260" s="244">
        <f>SUM(C261:C264)</f>
        <v>800.04</v>
      </c>
      <c r="D260" s="244">
        <f>SUM(D261:D264)</f>
        <v>66</v>
      </c>
      <c r="E260" s="244">
        <f>SUM(E261:E264)</f>
        <v>17600.88</v>
      </c>
      <c r="F260" s="244">
        <f>SUM(F261:F264)</f>
        <v>800.04</v>
      </c>
      <c r="G260" s="255">
        <f>SUM(G261:G263)</f>
        <v>0.44446666666666701</v>
      </c>
    </row>
    <row r="261" spans="1:7">
      <c r="A261" s="246" t="s">
        <v>239</v>
      </c>
      <c r="B261" s="247" t="s">
        <v>240</v>
      </c>
      <c r="C261" s="248">
        <v>319.99</v>
      </c>
      <c r="D261" s="249">
        <v>22</v>
      </c>
      <c r="E261" s="249">
        <f>D261*C261</f>
        <v>7039.78</v>
      </c>
      <c r="F261" s="249">
        <f>E261/22</f>
        <v>319.99</v>
      </c>
      <c r="G261" s="250">
        <f>F261/1800</f>
        <v>0.177772222222222</v>
      </c>
    </row>
    <row r="262" spans="1:7">
      <c r="A262" s="246" t="s">
        <v>241</v>
      </c>
      <c r="B262" s="247" t="s">
        <v>242</v>
      </c>
      <c r="C262" s="248">
        <v>26.63</v>
      </c>
      <c r="D262" s="249">
        <v>22</v>
      </c>
      <c r="E262" s="249">
        <f>D262*C262</f>
        <v>585.86</v>
      </c>
      <c r="F262" s="249">
        <f>E262/22</f>
        <v>26.63</v>
      </c>
      <c r="G262" s="250">
        <f>F262/1800</f>
        <v>1.47944444444444E-2</v>
      </c>
    </row>
    <row r="263" spans="1:7" ht="25.5">
      <c r="A263" s="246" t="s">
        <v>243</v>
      </c>
      <c r="B263" s="247" t="s">
        <v>244</v>
      </c>
      <c r="C263" s="248">
        <v>453.42</v>
      </c>
      <c r="D263" s="249">
        <v>22</v>
      </c>
      <c r="E263" s="249">
        <f>D263*C263</f>
        <v>9975.24</v>
      </c>
      <c r="F263" s="249">
        <f>E263/22</f>
        <v>453.42</v>
      </c>
      <c r="G263" s="250">
        <f>F263/1800</f>
        <v>0.25190000000000001</v>
      </c>
    </row>
    <row r="264" spans="1:7" ht="7.5" customHeight="1">
      <c r="A264" s="251"/>
      <c r="B264" s="252"/>
      <c r="C264" s="253"/>
      <c r="D264" s="238"/>
      <c r="E264" s="238"/>
      <c r="F264" s="238"/>
      <c r="G264" s="254"/>
    </row>
    <row r="265" spans="1:7" ht="51">
      <c r="A265" s="239" t="s">
        <v>245</v>
      </c>
      <c r="B265" s="240" t="s">
        <v>246</v>
      </c>
      <c r="C265" s="282">
        <f>SUM(C266,C272)</f>
        <v>7719.34</v>
      </c>
      <c r="D265" s="282">
        <f>SUM(D266,D272)</f>
        <v>110</v>
      </c>
      <c r="E265" s="282">
        <f>SUM(E266,E272)</f>
        <v>169825.48</v>
      </c>
      <c r="F265" s="282">
        <f>ROUND(F266+F272,2)</f>
        <v>7719.34</v>
      </c>
      <c r="G265" s="242">
        <f>SUM(G266,G272)</f>
        <v>1.2865566666666699</v>
      </c>
    </row>
    <row r="266" spans="1:7" ht="14.25" customHeight="1">
      <c r="A266" s="332" t="s">
        <v>72</v>
      </c>
      <c r="B266" s="332"/>
      <c r="C266" s="244">
        <f>SUM(C267:C271)</f>
        <v>6285.15</v>
      </c>
      <c r="D266" s="244">
        <f>SUM(D267:D271)</f>
        <v>88</v>
      </c>
      <c r="E266" s="244">
        <f>SUM(E267:E271)</f>
        <v>138273.29999999999</v>
      </c>
      <c r="F266" s="244">
        <f>SUM(F267:F271)</f>
        <v>6285.15</v>
      </c>
      <c r="G266" s="255">
        <f>SUM(G267:G270)</f>
        <v>1.047525</v>
      </c>
    </row>
    <row r="267" spans="1:7">
      <c r="A267" s="246" t="s">
        <v>247</v>
      </c>
      <c r="B267" s="247" t="s">
        <v>248</v>
      </c>
      <c r="C267" s="248">
        <v>3463.12</v>
      </c>
      <c r="D267" s="249">
        <v>22</v>
      </c>
      <c r="E267" s="249">
        <f>D267*C267</f>
        <v>76188.639999999999</v>
      </c>
      <c r="F267" s="249">
        <f>E267/22</f>
        <v>3463.12</v>
      </c>
      <c r="G267" s="250">
        <f>F267/6000</f>
        <v>0.57718666666666696</v>
      </c>
    </row>
    <row r="268" spans="1:7">
      <c r="A268" s="246" t="s">
        <v>249</v>
      </c>
      <c r="B268" s="247" t="s">
        <v>250</v>
      </c>
      <c r="C268" s="248">
        <v>237.93</v>
      </c>
      <c r="D268" s="249">
        <v>22</v>
      </c>
      <c r="E268" s="249">
        <f>D268*C268</f>
        <v>5234.46</v>
      </c>
      <c r="F268" s="249">
        <f>E268/22</f>
        <v>237.93</v>
      </c>
      <c r="G268" s="250">
        <f>F268/6000</f>
        <v>3.9655000000000003E-2</v>
      </c>
    </row>
    <row r="269" spans="1:7" ht="25.5">
      <c r="A269" s="246" t="s">
        <v>251</v>
      </c>
      <c r="B269" s="247" t="s">
        <v>252</v>
      </c>
      <c r="C269" s="248">
        <v>1780.67</v>
      </c>
      <c r="D269" s="249">
        <v>22</v>
      </c>
      <c r="E269" s="249">
        <f>D269*C269</f>
        <v>39174.74</v>
      </c>
      <c r="F269" s="249">
        <f>E269/22</f>
        <v>1780.67</v>
      </c>
      <c r="G269" s="250">
        <f>F269/6000</f>
        <v>0.29677833333333298</v>
      </c>
    </row>
    <row r="270" spans="1:7">
      <c r="A270" s="246" t="s">
        <v>253</v>
      </c>
      <c r="B270" s="247" t="s">
        <v>254</v>
      </c>
      <c r="C270" s="248">
        <v>803.43</v>
      </c>
      <c r="D270" s="249">
        <v>22</v>
      </c>
      <c r="E270" s="249">
        <f>D270*C270</f>
        <v>17675.46</v>
      </c>
      <c r="F270" s="249">
        <f>E270/22</f>
        <v>803.43</v>
      </c>
      <c r="G270" s="250">
        <f>F270/6000</f>
        <v>0.133905</v>
      </c>
    </row>
    <row r="271" spans="1:7" ht="9" customHeight="1">
      <c r="A271" s="251"/>
      <c r="B271" s="252"/>
      <c r="C271" s="253"/>
      <c r="D271" s="238"/>
      <c r="E271" s="238"/>
      <c r="F271" s="238"/>
      <c r="G271" s="254"/>
    </row>
    <row r="272" spans="1:7" ht="14.25" customHeight="1">
      <c r="A272" s="332" t="s">
        <v>88</v>
      </c>
      <c r="B272" s="332"/>
      <c r="C272" s="244">
        <f>SUM(C273:C274)</f>
        <v>1434.19</v>
      </c>
      <c r="D272" s="244">
        <f>SUM(D273:D274)</f>
        <v>22</v>
      </c>
      <c r="E272" s="244">
        <f>SUM(E273:E274)</f>
        <v>31552.18</v>
      </c>
      <c r="F272" s="244">
        <f>SUM(F273:F274)</f>
        <v>1434.19</v>
      </c>
      <c r="G272" s="255">
        <f>SUM(G273)</f>
        <v>0.239031666666667</v>
      </c>
    </row>
    <row r="273" spans="1:7">
      <c r="A273" s="246" t="s">
        <v>255</v>
      </c>
      <c r="B273" s="247" t="s">
        <v>256</v>
      </c>
      <c r="C273" s="248">
        <v>1434.19</v>
      </c>
      <c r="D273" s="249">
        <v>22</v>
      </c>
      <c r="E273" s="249">
        <f>D273*C273</f>
        <v>31552.18</v>
      </c>
      <c r="F273" s="249">
        <f>E273/22</f>
        <v>1434.19</v>
      </c>
      <c r="G273" s="250">
        <f>F273/6000</f>
        <v>0.239031666666667</v>
      </c>
    </row>
    <row r="274" spans="1:7" ht="9" customHeight="1">
      <c r="A274" s="251"/>
      <c r="B274" s="252"/>
      <c r="C274" s="253"/>
      <c r="D274" s="238"/>
      <c r="E274" s="238"/>
      <c r="F274" s="238"/>
      <c r="G274" s="254"/>
    </row>
    <row r="275" spans="1:7" ht="51">
      <c r="A275" s="239" t="s">
        <v>257</v>
      </c>
      <c r="B275" s="240" t="s">
        <v>258</v>
      </c>
      <c r="C275" s="282">
        <f>SUM(C276,C281,C284,C288)</f>
        <v>7173.28</v>
      </c>
      <c r="D275" s="282">
        <f>SUM(D276,D281,D284,D288)</f>
        <v>77</v>
      </c>
      <c r="E275" s="282">
        <f>SUM(E276,E281,E284,E288)</f>
        <v>78906.080000000002</v>
      </c>
      <c r="F275" s="282">
        <f>ROUND(F276+F281+F284+F288,2)</f>
        <v>3586.64</v>
      </c>
      <c r="G275" s="242">
        <f>SUM(G276,G281,G284,G288)</f>
        <v>1.99257777777778</v>
      </c>
    </row>
    <row r="276" spans="1:7" ht="14.25" customHeight="1">
      <c r="A276" s="332" t="s">
        <v>72</v>
      </c>
      <c r="B276" s="332"/>
      <c r="C276" s="244">
        <f>SUM(C277:C280)</f>
        <v>4102.2</v>
      </c>
      <c r="D276" s="244">
        <f>SUM(D277:D280)</f>
        <v>33</v>
      </c>
      <c r="E276" s="244">
        <f>SUM(E277:E280)</f>
        <v>45124.2</v>
      </c>
      <c r="F276" s="244">
        <f>SUM(F277:F280)</f>
        <v>2051.1</v>
      </c>
      <c r="G276" s="255">
        <f>SUM(G277:G279)</f>
        <v>1.1395</v>
      </c>
    </row>
    <row r="277" spans="1:7">
      <c r="A277" s="246" t="s">
        <v>259</v>
      </c>
      <c r="B277" s="247" t="s">
        <v>260</v>
      </c>
      <c r="C277" s="248">
        <v>3237.04</v>
      </c>
      <c r="D277" s="249">
        <v>11</v>
      </c>
      <c r="E277" s="249">
        <f>D277*C277</f>
        <v>35607.440000000002</v>
      </c>
      <c r="F277" s="249">
        <f>E277/22</f>
        <v>1618.52</v>
      </c>
      <c r="G277" s="250">
        <f>F277/1800</f>
        <v>0.89917777777777796</v>
      </c>
    </row>
    <row r="278" spans="1:7">
      <c r="A278" s="246" t="s">
        <v>261</v>
      </c>
      <c r="B278" s="247" t="s">
        <v>262</v>
      </c>
      <c r="C278" s="248">
        <v>626.76</v>
      </c>
      <c r="D278" s="249">
        <v>11</v>
      </c>
      <c r="E278" s="249">
        <f>D278*C278</f>
        <v>6894.36</v>
      </c>
      <c r="F278" s="249">
        <f>E278/22</f>
        <v>313.38</v>
      </c>
      <c r="G278" s="250">
        <f>F278/1800</f>
        <v>0.1741</v>
      </c>
    </row>
    <row r="279" spans="1:7">
      <c r="A279" s="246" t="s">
        <v>263</v>
      </c>
      <c r="B279" s="247" t="s">
        <v>264</v>
      </c>
      <c r="C279" s="248">
        <v>238.4</v>
      </c>
      <c r="D279" s="249">
        <v>11</v>
      </c>
      <c r="E279" s="249">
        <f>D279*C279</f>
        <v>2622.4</v>
      </c>
      <c r="F279" s="249">
        <f>E279/22</f>
        <v>119.2</v>
      </c>
      <c r="G279" s="250">
        <f>F279/1800</f>
        <v>6.6222222222222196E-2</v>
      </c>
    </row>
    <row r="280" spans="1:7" ht="7.5" customHeight="1">
      <c r="A280" s="251"/>
      <c r="B280" s="252"/>
      <c r="C280" s="253"/>
      <c r="D280" s="238"/>
      <c r="E280" s="238"/>
      <c r="F280" s="238"/>
      <c r="G280" s="254"/>
    </row>
    <row r="281" spans="1:7" ht="14.25" customHeight="1">
      <c r="A281" s="332" t="s">
        <v>88</v>
      </c>
      <c r="B281" s="332"/>
      <c r="C281" s="244">
        <f>SUM(C282)</f>
        <v>2551.86</v>
      </c>
      <c r="D281" s="244">
        <f>SUM(D282)</f>
        <v>11</v>
      </c>
      <c r="E281" s="244">
        <f>SUM(E282)</f>
        <v>28070.46</v>
      </c>
      <c r="F281" s="244">
        <f>SUM(F282)</f>
        <v>1275.93</v>
      </c>
      <c r="G281" s="255">
        <f>SUM(G282)</f>
        <v>0.70884999999999998</v>
      </c>
    </row>
    <row r="282" spans="1:7">
      <c r="A282" s="246" t="s">
        <v>265</v>
      </c>
      <c r="B282" s="247" t="s">
        <v>260</v>
      </c>
      <c r="C282" s="248">
        <v>2551.86</v>
      </c>
      <c r="D282" s="249">
        <v>11</v>
      </c>
      <c r="E282" s="249">
        <f>D282*C282</f>
        <v>28070.46</v>
      </c>
      <c r="F282" s="249">
        <f>E282/22</f>
        <v>1275.93</v>
      </c>
      <c r="G282" s="250">
        <f>F282/1800</f>
        <v>0.70884999999999998</v>
      </c>
    </row>
    <row r="283" spans="1:7" ht="8.25" customHeight="1">
      <c r="A283" s="283"/>
      <c r="B283" s="284"/>
      <c r="C283" s="253"/>
      <c r="D283" s="238"/>
      <c r="E283" s="238"/>
      <c r="F283" s="238"/>
      <c r="G283" s="254"/>
    </row>
    <row r="284" spans="1:7" ht="14.25" customHeight="1">
      <c r="A284" s="332" t="s">
        <v>94</v>
      </c>
      <c r="B284" s="332"/>
      <c r="C284" s="244">
        <f>SUM(C285,C286)</f>
        <v>258.60000000000002</v>
      </c>
      <c r="D284" s="244">
        <f>SUM(D285,D286)</f>
        <v>22</v>
      </c>
      <c r="E284" s="244">
        <f>SUM(E285,E286)</f>
        <v>2844.6</v>
      </c>
      <c r="F284" s="244">
        <f>SUM(F285,F286)</f>
        <v>129.30000000000001</v>
      </c>
      <c r="G284" s="255">
        <f>SUM(G285:G286)</f>
        <v>7.1833333333333305E-2</v>
      </c>
    </row>
    <row r="285" spans="1:7">
      <c r="A285" s="246" t="s">
        <v>266</v>
      </c>
      <c r="B285" s="247" t="s">
        <v>267</v>
      </c>
      <c r="C285" s="248">
        <v>148.80000000000001</v>
      </c>
      <c r="D285" s="249">
        <v>11</v>
      </c>
      <c r="E285" s="249">
        <f>D285*C285</f>
        <v>1636.8</v>
      </c>
      <c r="F285" s="249">
        <f>E285/22</f>
        <v>74.400000000000006</v>
      </c>
      <c r="G285" s="250">
        <f>F285/1800</f>
        <v>4.1333333333333298E-2</v>
      </c>
    </row>
    <row r="286" spans="1:7">
      <c r="A286" s="246" t="s">
        <v>268</v>
      </c>
      <c r="B286" s="247" t="s">
        <v>269</v>
      </c>
      <c r="C286" s="248">
        <v>109.8</v>
      </c>
      <c r="D286" s="249">
        <v>11</v>
      </c>
      <c r="E286" s="249">
        <f>D286*C286</f>
        <v>1207.8</v>
      </c>
      <c r="F286" s="249">
        <f>E286/22</f>
        <v>54.9</v>
      </c>
      <c r="G286" s="250">
        <f>F286/1800</f>
        <v>3.0499999999999999E-2</v>
      </c>
    </row>
    <row r="287" spans="1:7" ht="7.5" customHeight="1">
      <c r="A287" s="251"/>
      <c r="B287" s="252"/>
      <c r="C287" s="253"/>
      <c r="D287" s="238"/>
      <c r="E287" s="238"/>
      <c r="F287" s="238"/>
      <c r="G287" s="254"/>
    </row>
    <row r="288" spans="1:7" ht="14.25" customHeight="1">
      <c r="A288" s="332" t="s">
        <v>99</v>
      </c>
      <c r="B288" s="332"/>
      <c r="C288" s="244">
        <f>C289</f>
        <v>260.62</v>
      </c>
      <c r="D288" s="244">
        <f>D289</f>
        <v>11</v>
      </c>
      <c r="E288" s="244">
        <f>E289</f>
        <v>2866.82</v>
      </c>
      <c r="F288" s="244">
        <f>F289</f>
        <v>130.31</v>
      </c>
      <c r="G288" s="255">
        <f>SUM(G289)</f>
        <v>7.23944444444444E-2</v>
      </c>
    </row>
    <row r="289" spans="1:7">
      <c r="A289" s="246" t="s">
        <v>270</v>
      </c>
      <c r="B289" s="247" t="s">
        <v>271</v>
      </c>
      <c r="C289" s="248">
        <v>260.62</v>
      </c>
      <c r="D289" s="249">
        <v>11</v>
      </c>
      <c r="E289" s="249">
        <f>D289*C289</f>
        <v>2866.82</v>
      </c>
      <c r="F289" s="249">
        <f>E289/22</f>
        <v>130.31</v>
      </c>
      <c r="G289" s="250">
        <f>F289/1800</f>
        <v>7.23944444444444E-2</v>
      </c>
    </row>
    <row r="290" spans="1:7" ht="9" customHeight="1">
      <c r="A290" s="251"/>
      <c r="B290" s="252"/>
      <c r="C290" s="253"/>
      <c r="D290" s="238"/>
      <c r="E290" s="238"/>
      <c r="F290" s="238"/>
      <c r="G290" s="254"/>
    </row>
    <row r="291" spans="1:7" ht="51">
      <c r="A291" s="239" t="s">
        <v>272</v>
      </c>
      <c r="B291" s="285" t="s">
        <v>273</v>
      </c>
      <c r="C291" s="282">
        <f>SUM(C292,C296,C302,C307,C310)</f>
        <v>65217.07</v>
      </c>
      <c r="D291" s="282">
        <f>SUM(D292,D296,D302,D307,D310)</f>
        <v>7.9166666666666696</v>
      </c>
      <c r="E291" s="282">
        <f>SUM(E292,E296,E302,E307,E310)</f>
        <v>51308.100833333301</v>
      </c>
      <c r="F291" s="282">
        <f>ROUND(F292+F296+F302+F307+F310,2)</f>
        <v>2332.19</v>
      </c>
      <c r="G291" s="242">
        <f>SUM(G292,G296,G302,G307,G310)</f>
        <v>0.86377274130190795</v>
      </c>
    </row>
    <row r="292" spans="1:7" ht="14.25" customHeight="1">
      <c r="A292" s="332" t="s">
        <v>72</v>
      </c>
      <c r="B292" s="332"/>
      <c r="C292" s="244">
        <f>SUM(C293:C295)</f>
        <v>3101.38</v>
      </c>
      <c r="D292" s="244">
        <f>SUM(D293:D295)</f>
        <v>0.5</v>
      </c>
      <c r="E292" s="244">
        <f>SUM(E293:E295)</f>
        <v>775.34500000000003</v>
      </c>
      <c r="F292" s="244">
        <f>SUM(F293:F295)</f>
        <v>35.242954545454502</v>
      </c>
      <c r="G292" s="255">
        <f>SUM(G293:G294)</f>
        <v>1.3052946127946099E-2</v>
      </c>
    </row>
    <row r="293" spans="1:7" ht="25.5">
      <c r="A293" s="246" t="s">
        <v>274</v>
      </c>
      <c r="B293" s="247" t="s">
        <v>275</v>
      </c>
      <c r="C293" s="248">
        <v>2673.54</v>
      </c>
      <c r="D293" s="249">
        <v>0.25</v>
      </c>
      <c r="E293" s="249">
        <f>D293*C293</f>
        <v>668.38499999999999</v>
      </c>
      <c r="F293" s="249">
        <f>E293/22</f>
        <v>30.381136363636401</v>
      </c>
      <c r="G293" s="250">
        <f>F293/2700</f>
        <v>1.1252272727272699E-2</v>
      </c>
    </row>
    <row r="294" spans="1:7" ht="25.5">
      <c r="A294" s="246" t="s">
        <v>276</v>
      </c>
      <c r="B294" s="247" t="s">
        <v>277</v>
      </c>
      <c r="C294" s="248">
        <v>427.84</v>
      </c>
      <c r="D294" s="249">
        <v>0.25</v>
      </c>
      <c r="E294" s="249">
        <f>D294*C294</f>
        <v>106.96</v>
      </c>
      <c r="F294" s="249">
        <f>E294/22</f>
        <v>4.8618181818181796</v>
      </c>
      <c r="G294" s="250">
        <f>F294/2700</f>
        <v>1.8006734006734001E-3</v>
      </c>
    </row>
    <row r="295" spans="1:7" ht="8.25" customHeight="1">
      <c r="A295" s="251"/>
      <c r="B295" s="252"/>
      <c r="C295" s="253"/>
      <c r="D295" s="238"/>
      <c r="E295" s="238"/>
      <c r="F295" s="238"/>
      <c r="G295" s="254"/>
    </row>
    <row r="296" spans="1:7" ht="14.25" customHeight="1">
      <c r="A296" s="332" t="s">
        <v>88</v>
      </c>
      <c r="B296" s="332"/>
      <c r="C296" s="244">
        <f>SUM(C297:C301)</f>
        <v>13202.83</v>
      </c>
      <c r="D296" s="244">
        <f>SUM(D297:D301)</f>
        <v>4.25</v>
      </c>
      <c r="E296" s="244">
        <f>SUM(E297:E301)</f>
        <v>10982.4025</v>
      </c>
      <c r="F296" s="244">
        <f>SUM(F297:F301)</f>
        <v>499.20011363636399</v>
      </c>
      <c r="G296" s="255">
        <f>SUM(G297:G300)</f>
        <v>0.184888930976431</v>
      </c>
    </row>
    <row r="297" spans="1:7" ht="25.5">
      <c r="A297" s="246" t="s">
        <v>276</v>
      </c>
      <c r="B297" s="247" t="s">
        <v>278</v>
      </c>
      <c r="C297" s="248">
        <v>6620.57</v>
      </c>
      <c r="D297" s="249">
        <v>0.25</v>
      </c>
      <c r="E297" s="249">
        <f>D297*C297</f>
        <v>1655.1424999999999</v>
      </c>
      <c r="F297" s="249">
        <f>E297/22</f>
        <v>75.233750000000001</v>
      </c>
      <c r="G297" s="250">
        <f>F297/2700</f>
        <v>2.7864351851851901E-2</v>
      </c>
    </row>
    <row r="298" spans="1:7">
      <c r="A298" s="246" t="s">
        <v>279</v>
      </c>
      <c r="B298" s="247" t="s">
        <v>280</v>
      </c>
      <c r="C298" s="248">
        <v>2465.61</v>
      </c>
      <c r="D298" s="249">
        <v>1</v>
      </c>
      <c r="E298" s="249">
        <f>D298*C298</f>
        <v>2465.61</v>
      </c>
      <c r="F298" s="249">
        <f>E298/22</f>
        <v>112.07318181818199</v>
      </c>
      <c r="G298" s="250">
        <f>F298/2700</f>
        <v>4.1508585858585897E-2</v>
      </c>
    </row>
    <row r="299" spans="1:7">
      <c r="A299" s="246" t="s">
        <v>281</v>
      </c>
      <c r="B299" s="247" t="s">
        <v>282</v>
      </c>
      <c r="C299" s="248">
        <v>2745</v>
      </c>
      <c r="D299" s="249">
        <v>2</v>
      </c>
      <c r="E299" s="249">
        <f>D299*C299</f>
        <v>5490</v>
      </c>
      <c r="F299" s="249">
        <f>E299/22</f>
        <v>249.54545454545499</v>
      </c>
      <c r="G299" s="250">
        <f>F299/2700</f>
        <v>9.2424242424242395E-2</v>
      </c>
    </row>
    <row r="300" spans="1:7">
      <c r="A300" s="246" t="s">
        <v>283</v>
      </c>
      <c r="B300" s="247" t="s">
        <v>284</v>
      </c>
      <c r="C300" s="248">
        <v>1371.65</v>
      </c>
      <c r="D300" s="249">
        <v>1</v>
      </c>
      <c r="E300" s="249">
        <f>D300*C300</f>
        <v>1371.65</v>
      </c>
      <c r="F300" s="249">
        <f>E300/22</f>
        <v>62.347727272727298</v>
      </c>
      <c r="G300" s="250">
        <f>F300/2700</f>
        <v>2.3091750841750799E-2</v>
      </c>
    </row>
    <row r="301" spans="1:7" ht="9" customHeight="1">
      <c r="A301" s="251"/>
      <c r="B301" s="252"/>
      <c r="C301" s="253"/>
      <c r="D301" s="238"/>
      <c r="E301" s="238"/>
      <c r="F301" s="238"/>
      <c r="G301" s="254"/>
    </row>
    <row r="302" spans="1:7" ht="14.25" customHeight="1">
      <c r="A302" s="332" t="s">
        <v>94</v>
      </c>
      <c r="B302" s="332"/>
      <c r="C302" s="244">
        <f>SUM(C303:C305)</f>
        <v>20293.7</v>
      </c>
      <c r="D302" s="244">
        <f>SUM(D303:D305)</f>
        <v>1.4166666666666701</v>
      </c>
      <c r="E302" s="244">
        <f>SUM(E303:E305)</f>
        <v>17048.253333333301</v>
      </c>
      <c r="F302" s="244">
        <f>SUM(F303:F305)</f>
        <v>774.92060606060602</v>
      </c>
      <c r="G302" s="255">
        <f>SUM(G303:G305)</f>
        <v>0.28700763187429901</v>
      </c>
    </row>
    <row r="303" spans="1:7" ht="38.25">
      <c r="A303" s="246" t="s">
        <v>285</v>
      </c>
      <c r="B303" s="247" t="s">
        <v>286</v>
      </c>
      <c r="C303" s="248">
        <f>99.6+474.05+553.23+267.6+490.4+117.2+820.84+5040.28+8445.03</f>
        <v>16308.23</v>
      </c>
      <c r="D303" s="249">
        <v>1</v>
      </c>
      <c r="E303" s="249">
        <f>D303*C303</f>
        <v>16308.23</v>
      </c>
      <c r="F303" s="249">
        <f>E303/22</f>
        <v>741.28318181818202</v>
      </c>
      <c r="G303" s="250">
        <f>F303/2700</f>
        <v>0.27454932659932701</v>
      </c>
    </row>
    <row r="304" spans="1:7" ht="25.5">
      <c r="A304" s="246" t="s">
        <v>287</v>
      </c>
      <c r="B304" s="247" t="s">
        <v>288</v>
      </c>
      <c r="C304" s="248">
        <v>909.34</v>
      </c>
      <c r="D304" s="249">
        <v>0.25</v>
      </c>
      <c r="E304" s="249">
        <f>D304*C304</f>
        <v>227.33500000000001</v>
      </c>
      <c r="F304" s="249">
        <f>E304/22</f>
        <v>10.3334090909091</v>
      </c>
      <c r="G304" s="250">
        <f>F304/2700</f>
        <v>3.8271885521885501E-3</v>
      </c>
    </row>
    <row r="305" spans="1:10" ht="25.5">
      <c r="A305" s="246" t="s">
        <v>289</v>
      </c>
      <c r="B305" s="247" t="s">
        <v>290</v>
      </c>
      <c r="C305" s="248">
        <v>3076.13</v>
      </c>
      <c r="D305" s="249">
        <f>1/6</f>
        <v>0.16666666666666699</v>
      </c>
      <c r="E305" s="249">
        <f>D305*C305</f>
        <v>512.68833333333305</v>
      </c>
      <c r="F305" s="249">
        <f>E305/22</f>
        <v>23.304015151515099</v>
      </c>
      <c r="G305" s="250">
        <f>F305/2700</f>
        <v>8.6311167227833899E-3</v>
      </c>
    </row>
    <row r="306" spans="1:10" ht="8.25" customHeight="1">
      <c r="A306" s="259"/>
      <c r="B306" s="252"/>
      <c r="C306" s="253"/>
      <c r="D306" s="238"/>
      <c r="E306" s="238"/>
      <c r="F306" s="238"/>
      <c r="G306" s="254"/>
    </row>
    <row r="307" spans="1:10" ht="14.25" customHeight="1">
      <c r="A307" s="332" t="s">
        <v>99</v>
      </c>
      <c r="B307" s="332"/>
      <c r="C307" s="244">
        <f>SUM(C308)</f>
        <v>20463.080000000002</v>
      </c>
      <c r="D307" s="244">
        <f>SUM(D308)</f>
        <v>1</v>
      </c>
      <c r="E307" s="244">
        <f>SUM(E308)</f>
        <v>20463.080000000002</v>
      </c>
      <c r="F307" s="244">
        <f>SUM(F308)</f>
        <v>930.14</v>
      </c>
      <c r="G307" s="255">
        <f>SUM(G308)</f>
        <v>0.34449629629629602</v>
      </c>
    </row>
    <row r="308" spans="1:10" ht="25.5">
      <c r="A308" s="246" t="s">
        <v>291</v>
      </c>
      <c r="B308" s="247" t="s">
        <v>292</v>
      </c>
      <c r="C308" s="248">
        <v>20463.080000000002</v>
      </c>
      <c r="D308" s="249">
        <v>1</v>
      </c>
      <c r="E308" s="249">
        <f>D308*C308</f>
        <v>20463.080000000002</v>
      </c>
      <c r="F308" s="249">
        <f>E308/22</f>
        <v>930.14</v>
      </c>
      <c r="G308" s="250">
        <f>F308/2700</f>
        <v>0.34449629629629602</v>
      </c>
    </row>
    <row r="309" spans="1:10" ht="9.75" customHeight="1">
      <c r="A309" s="251"/>
      <c r="B309" s="252"/>
      <c r="C309" s="253"/>
      <c r="D309" s="238"/>
      <c r="E309" s="238"/>
      <c r="F309" s="238"/>
      <c r="G309" s="254"/>
    </row>
    <row r="310" spans="1:10" ht="14.25" customHeight="1">
      <c r="A310" s="332" t="s">
        <v>102</v>
      </c>
      <c r="B310" s="332"/>
      <c r="C310" s="244">
        <f>SUM(C311:C314)</f>
        <v>8156.08</v>
      </c>
      <c r="D310" s="244">
        <f>SUM(D311:D314)</f>
        <v>0.75</v>
      </c>
      <c r="E310" s="244">
        <f>SUM(E311:E314)</f>
        <v>2039.02</v>
      </c>
      <c r="F310" s="244">
        <f>SUM(F311:F314)</f>
        <v>92.682727272727305</v>
      </c>
      <c r="G310" s="255">
        <f>SUM(G311:G313)</f>
        <v>3.4326936026935997E-2</v>
      </c>
    </row>
    <row r="311" spans="1:10" ht="38.25">
      <c r="A311" s="246" t="s">
        <v>293</v>
      </c>
      <c r="B311" s="247" t="s">
        <v>294</v>
      </c>
      <c r="C311" s="248">
        <v>5192.5600000000004</v>
      </c>
      <c r="D311" s="249">
        <v>0.25</v>
      </c>
      <c r="E311" s="249">
        <f>D311*C311</f>
        <v>1298.1400000000001</v>
      </c>
      <c r="F311" s="249">
        <f>E311/22</f>
        <v>59.006363636363602</v>
      </c>
      <c r="G311" s="250">
        <f>F311/2700</f>
        <v>2.18542087542088E-2</v>
      </c>
    </row>
    <row r="312" spans="1:10" ht="25.5">
      <c r="A312" s="246" t="s">
        <v>295</v>
      </c>
      <c r="B312" s="247" t="s">
        <v>296</v>
      </c>
      <c r="C312" s="248">
        <v>381.72</v>
      </c>
      <c r="D312" s="249">
        <v>0.25</v>
      </c>
      <c r="E312" s="249">
        <f>D312*C312</f>
        <v>95.43</v>
      </c>
      <c r="F312" s="249">
        <f>E312/22</f>
        <v>4.3377272727272702</v>
      </c>
      <c r="G312" s="250">
        <f>F312/2700</f>
        <v>1.60656565656566E-3</v>
      </c>
    </row>
    <row r="313" spans="1:10" ht="25.5">
      <c r="A313" s="286" t="s">
        <v>297</v>
      </c>
      <c r="B313" s="247" t="s">
        <v>298</v>
      </c>
      <c r="C313" s="248">
        <v>2581.8000000000002</v>
      </c>
      <c r="D313" s="249">
        <v>0.25</v>
      </c>
      <c r="E313" s="249">
        <f>D313*C313</f>
        <v>645.45000000000005</v>
      </c>
      <c r="F313" s="249">
        <f>E313/22</f>
        <v>29.3386363636364</v>
      </c>
      <c r="G313" s="250">
        <f>F313/2700</f>
        <v>1.08661616161616E-2</v>
      </c>
    </row>
    <row r="314" spans="1:10" ht="7.5" customHeight="1">
      <c r="A314" s="251"/>
      <c r="B314" s="252"/>
      <c r="C314" s="253"/>
      <c r="D314" s="238"/>
      <c r="E314" s="238"/>
      <c r="F314" s="238"/>
      <c r="G314" s="254"/>
    </row>
    <row r="315" spans="1:10" ht="51">
      <c r="A315" s="287" t="s">
        <v>299</v>
      </c>
      <c r="B315" s="288" t="s">
        <v>300</v>
      </c>
      <c r="C315" s="282">
        <f>SUM(C316)</f>
        <v>7601</v>
      </c>
      <c r="D315" s="282">
        <f>SUM(D316)</f>
        <v>22</v>
      </c>
      <c r="E315" s="282">
        <f>SUM(E316)</f>
        <v>167222</v>
      </c>
      <c r="F315" s="282">
        <f>ROUND(F316,2)</f>
        <v>7601</v>
      </c>
      <c r="G315" s="242">
        <f>SUM(G316)</f>
        <v>7.6009999999999994E-2</v>
      </c>
    </row>
    <row r="316" spans="1:10" ht="14.25" customHeight="1">
      <c r="A316" s="332" t="s">
        <v>102</v>
      </c>
      <c r="B316" s="332"/>
      <c r="C316" s="244">
        <f>SUM(C317:C318)</f>
        <v>7601</v>
      </c>
      <c r="D316" s="244">
        <f>SUM(D317:D318)</f>
        <v>22</v>
      </c>
      <c r="E316" s="244">
        <f>SUM(E317:E318)</f>
        <v>167222</v>
      </c>
      <c r="F316" s="244">
        <f>SUM(F317:F318)</f>
        <v>7601</v>
      </c>
      <c r="G316" s="255">
        <f>SUM(G317)</f>
        <v>7.6009999999999994E-2</v>
      </c>
    </row>
    <row r="317" spans="1:10">
      <c r="A317" s="246" t="s">
        <v>301</v>
      </c>
      <c r="B317" s="247" t="s">
        <v>302</v>
      </c>
      <c r="C317" s="248">
        <v>7601</v>
      </c>
      <c r="D317" s="249">
        <v>22</v>
      </c>
      <c r="E317" s="249">
        <f>D317*C317</f>
        <v>167222</v>
      </c>
      <c r="F317" s="249">
        <f>E317/22</f>
        <v>7601</v>
      </c>
      <c r="G317" s="250">
        <f>F317/100000</f>
        <v>7.6009999999999994E-2</v>
      </c>
    </row>
    <row r="318" spans="1:10" ht="7.5" customHeight="1">
      <c r="A318" s="289"/>
      <c r="B318" s="290"/>
      <c r="C318" s="291"/>
      <c r="D318" s="292" t="s">
        <v>303</v>
      </c>
      <c r="E318" s="292"/>
      <c r="F318" s="292"/>
      <c r="G318" s="293"/>
      <c r="J318" s="281"/>
    </row>
    <row r="319" spans="1:10">
      <c r="A319" s="335">
        <f>SUM(C239,C115)</f>
        <v>124661.29</v>
      </c>
      <c r="B319" s="335"/>
      <c r="C319" s="335"/>
      <c r="D319" s="335"/>
      <c r="E319" s="335"/>
      <c r="F319" s="335"/>
      <c r="G319" s="294">
        <f>SUM(G239,G115)</f>
        <v>38</v>
      </c>
      <c r="J319" s="281"/>
    </row>
    <row r="320" spans="1:10" ht="15" customHeight="1">
      <c r="A320" s="336" t="s">
        <v>304</v>
      </c>
      <c r="B320" s="336"/>
      <c r="C320" s="336"/>
      <c r="D320" s="336"/>
      <c r="E320" s="336"/>
      <c r="F320" s="336"/>
      <c r="G320" s="295">
        <f>G319</f>
        <v>38</v>
      </c>
      <c r="J320" s="281"/>
    </row>
    <row r="321" spans="1:10" ht="14.25" customHeight="1">
      <c r="A321" s="337" t="s">
        <v>305</v>
      </c>
      <c r="B321" s="337"/>
      <c r="C321" s="337"/>
      <c r="D321" s="337"/>
      <c r="E321" s="337"/>
      <c r="F321" s="337"/>
      <c r="G321" s="296">
        <f>ROUNDDOWN(G320/30,0)</f>
        <v>1</v>
      </c>
      <c r="J321" s="281"/>
    </row>
    <row r="322" spans="1:10" ht="15" customHeight="1">
      <c r="A322" s="209"/>
      <c r="B322" s="209"/>
      <c r="C322" s="15"/>
      <c r="D322" s="15"/>
      <c r="E322" s="15"/>
      <c r="F322" s="15"/>
      <c r="G322" s="15"/>
    </row>
    <row r="323" spans="1:10">
      <c r="A323" s="15"/>
      <c r="B323" s="15"/>
      <c r="C323" s="15"/>
      <c r="D323" s="15"/>
      <c r="E323" s="15"/>
      <c r="F323" s="15"/>
      <c r="G323" s="15"/>
    </row>
    <row r="324" spans="1:10" ht="14.25" customHeight="1">
      <c r="A324" s="15"/>
      <c r="B324" s="338" t="s">
        <v>306</v>
      </c>
      <c r="C324" s="338"/>
      <c r="D324" s="15"/>
      <c r="E324" s="15"/>
      <c r="F324" s="297"/>
      <c r="G324" s="15"/>
    </row>
    <row r="325" spans="1:10" ht="15" customHeight="1">
      <c r="A325" s="15"/>
      <c r="B325" s="15"/>
      <c r="C325" s="15"/>
      <c r="D325" s="15"/>
      <c r="E325" s="15"/>
      <c r="F325" s="15"/>
      <c r="G325" s="15"/>
    </row>
    <row r="326" spans="1:10" ht="14.25" customHeight="1">
      <c r="A326" s="15"/>
      <c r="B326" s="346" t="s">
        <v>307</v>
      </c>
      <c r="C326" s="346"/>
      <c r="D326" s="346"/>
      <c r="E326" s="346"/>
      <c r="F326" s="346"/>
      <c r="G326" s="15"/>
    </row>
    <row r="327" spans="1:10" ht="14.25" customHeight="1">
      <c r="A327" s="15"/>
      <c r="B327" s="346"/>
      <c r="C327" s="346"/>
      <c r="D327" s="346"/>
      <c r="E327" s="346"/>
      <c r="F327" s="346"/>
      <c r="G327" s="15"/>
    </row>
    <row r="328" spans="1:10">
      <c r="A328" s="15"/>
      <c r="B328" s="346"/>
      <c r="C328" s="346"/>
      <c r="D328" s="346"/>
      <c r="E328" s="346"/>
      <c r="F328" s="346"/>
      <c r="G328" s="15"/>
    </row>
    <row r="329" spans="1:10">
      <c r="A329" s="15"/>
      <c r="B329" s="298"/>
      <c r="C329" s="298"/>
      <c r="D329" s="298"/>
      <c r="E329" s="298"/>
      <c r="F329" s="298"/>
      <c r="G329" s="15"/>
    </row>
    <row r="330" spans="1:10" ht="14.25" customHeight="1">
      <c r="A330" s="15"/>
      <c r="B330" s="346" t="s">
        <v>308</v>
      </c>
      <c r="C330" s="346"/>
      <c r="D330" s="346"/>
      <c r="E330" s="346"/>
      <c r="F330" s="346"/>
      <c r="G330" s="15"/>
    </row>
    <row r="331" spans="1:10">
      <c r="A331" s="15"/>
      <c r="B331" s="346"/>
      <c r="C331" s="346"/>
      <c r="D331" s="346"/>
      <c r="E331" s="346"/>
      <c r="F331" s="346"/>
      <c r="G331" s="15"/>
    </row>
    <row r="332" spans="1:10" ht="14.25" customHeight="1">
      <c r="A332" s="15"/>
      <c r="B332" s="346"/>
      <c r="C332" s="346"/>
      <c r="D332" s="346"/>
      <c r="E332" s="346"/>
      <c r="F332" s="346"/>
      <c r="G332" s="15"/>
    </row>
    <row r="333" spans="1:10">
      <c r="A333" s="15"/>
      <c r="B333" s="298"/>
      <c r="C333" s="298"/>
      <c r="D333" s="298"/>
      <c r="E333" s="298"/>
      <c r="F333" s="298"/>
      <c r="G333" s="15"/>
    </row>
    <row r="334" spans="1:10" ht="14.25" customHeight="1">
      <c r="A334" s="15"/>
      <c r="B334" s="339" t="s">
        <v>309</v>
      </c>
      <c r="C334" s="339"/>
      <c r="D334" s="339"/>
      <c r="E334" s="339"/>
      <c r="F334" s="339"/>
      <c r="G334" s="15"/>
    </row>
    <row r="335" spans="1:10" ht="10.5" customHeight="1">
      <c r="A335" s="15"/>
      <c r="B335" s="15"/>
      <c r="C335" s="15"/>
      <c r="D335" s="15"/>
      <c r="E335" s="15"/>
      <c r="F335" s="15"/>
      <c r="G335" s="15"/>
    </row>
    <row r="336" spans="1:10" ht="60" customHeight="1">
      <c r="A336" s="15"/>
      <c r="B336" s="340" t="s">
        <v>310</v>
      </c>
      <c r="C336" s="340"/>
      <c r="D336" s="340"/>
      <c r="E336" s="340"/>
      <c r="F336" s="340"/>
      <c r="G336" s="15"/>
    </row>
    <row r="337" spans="1:7" ht="13.5" customHeight="1">
      <c r="A337" s="15"/>
      <c r="B337" s="15"/>
      <c r="C337" s="299"/>
      <c r="D337" s="299"/>
      <c r="E337" s="15"/>
      <c r="F337" s="15"/>
      <c r="G337" s="15"/>
    </row>
    <row r="338" spans="1:7" ht="14.25" customHeight="1">
      <c r="A338" s="15"/>
      <c r="B338" s="340" t="s">
        <v>311</v>
      </c>
      <c r="C338" s="340"/>
      <c r="D338" s="340"/>
      <c r="E338" s="340"/>
      <c r="F338" s="340"/>
      <c r="G338" s="15"/>
    </row>
    <row r="339" spans="1:7" ht="14.25" customHeight="1">
      <c r="A339" s="15"/>
      <c r="B339" s="340"/>
      <c r="C339" s="340"/>
      <c r="D339" s="340"/>
      <c r="E339" s="340"/>
      <c r="F339" s="340"/>
      <c r="G339" s="15"/>
    </row>
    <row r="340" spans="1:7">
      <c r="A340" s="15"/>
      <c r="B340" s="340"/>
      <c r="C340" s="340"/>
      <c r="D340" s="340"/>
      <c r="E340" s="340"/>
      <c r="F340" s="340"/>
      <c r="G340" s="15"/>
    </row>
    <row r="341" spans="1:7" ht="36.75" customHeight="1">
      <c r="A341" s="15"/>
      <c r="B341" s="340"/>
      <c r="C341" s="340"/>
      <c r="D341" s="340"/>
      <c r="E341" s="340"/>
      <c r="F341" s="340"/>
      <c r="G341" s="15"/>
    </row>
    <row r="342" spans="1:7" ht="14.25" customHeight="1">
      <c r="A342" s="15"/>
      <c r="B342" s="300"/>
      <c r="C342" s="300"/>
      <c r="D342" s="300"/>
      <c r="E342" s="300"/>
      <c r="F342" s="300"/>
      <c r="G342" s="15"/>
    </row>
    <row r="343" spans="1:7" ht="14.25" customHeight="1">
      <c r="A343" s="15"/>
      <c r="B343" s="340" t="s">
        <v>312</v>
      </c>
      <c r="C343" s="340"/>
      <c r="D343" s="340"/>
      <c r="E343" s="340"/>
      <c r="F343" s="340"/>
      <c r="G343" s="15"/>
    </row>
    <row r="344" spans="1:7" ht="14.25" customHeight="1">
      <c r="A344" s="15"/>
      <c r="B344" s="340"/>
      <c r="C344" s="340"/>
      <c r="D344" s="340"/>
      <c r="E344" s="340"/>
      <c r="F344" s="340"/>
      <c r="G344" s="15"/>
    </row>
    <row r="345" spans="1:7" ht="14.25" customHeight="1">
      <c r="A345" s="15"/>
      <c r="B345" s="340"/>
      <c r="C345" s="340"/>
      <c r="D345" s="340"/>
      <c r="E345" s="340"/>
      <c r="F345" s="340"/>
      <c r="G345" s="15"/>
    </row>
    <row r="346" spans="1:7" ht="14.25" customHeight="1">
      <c r="A346" s="15"/>
      <c r="B346" s="340"/>
      <c r="C346" s="340"/>
      <c r="D346" s="340"/>
      <c r="E346" s="340"/>
      <c r="F346" s="340"/>
      <c r="G346" s="15"/>
    </row>
    <row r="347" spans="1:7" ht="14.25" customHeight="1">
      <c r="A347" s="15"/>
      <c r="B347" s="300"/>
      <c r="C347" s="300"/>
      <c r="D347" s="300"/>
      <c r="E347" s="300"/>
      <c r="F347" s="300"/>
      <c r="G347" s="15"/>
    </row>
    <row r="348" spans="1:7" ht="23.25" customHeight="1">
      <c r="A348" s="15"/>
      <c r="B348" s="347" t="s">
        <v>313</v>
      </c>
      <c r="C348" s="347"/>
      <c r="D348" s="347"/>
      <c r="E348" s="347"/>
      <c r="F348" s="347"/>
      <c r="G348" s="15"/>
    </row>
    <row r="349" spans="1:7" ht="30" customHeight="1">
      <c r="A349" s="15"/>
      <c r="B349" s="347"/>
      <c r="C349" s="347"/>
      <c r="D349" s="347"/>
      <c r="E349" s="347"/>
      <c r="F349" s="347"/>
      <c r="G349" s="15"/>
    </row>
    <row r="350" spans="1:7">
      <c r="A350" s="15"/>
      <c r="B350" s="347"/>
      <c r="C350" s="347"/>
      <c r="D350" s="347"/>
      <c r="E350" s="347"/>
      <c r="F350" s="347"/>
      <c r="G350" s="15"/>
    </row>
    <row r="351" spans="1:7" ht="3" customHeight="1"/>
  </sheetData>
  <mergeCells count="168">
    <mergeCell ref="B338:F341"/>
    <mergeCell ref="B343:F346"/>
    <mergeCell ref="B348:F350"/>
    <mergeCell ref="F20:F21"/>
    <mergeCell ref="F26:F27"/>
    <mergeCell ref="F32:F33"/>
    <mergeCell ref="F38:F39"/>
    <mergeCell ref="F44:F45"/>
    <mergeCell ref="F50:F51"/>
    <mergeCell ref="F56:F57"/>
    <mergeCell ref="F62:F63"/>
    <mergeCell ref="F68:F69"/>
    <mergeCell ref="E20:E21"/>
    <mergeCell ref="E26:E27"/>
    <mergeCell ref="E32:E33"/>
    <mergeCell ref="E38:E39"/>
    <mergeCell ref="E44:E45"/>
    <mergeCell ref="E50:E51"/>
    <mergeCell ref="E56:E57"/>
    <mergeCell ref="E62:E63"/>
    <mergeCell ref="E68:E69"/>
    <mergeCell ref="B336:F336"/>
    <mergeCell ref="B8:B9"/>
    <mergeCell ref="B14:B15"/>
    <mergeCell ref="B20:B21"/>
    <mergeCell ref="B26:B27"/>
    <mergeCell ref="B32:B33"/>
    <mergeCell ref="B38:B39"/>
    <mergeCell ref="B44:B45"/>
    <mergeCell ref="B50:B51"/>
    <mergeCell ref="B56:B57"/>
    <mergeCell ref="B62:B63"/>
    <mergeCell ref="B68:B69"/>
    <mergeCell ref="B76:B77"/>
    <mergeCell ref="B79:B80"/>
    <mergeCell ref="B82:B83"/>
    <mergeCell ref="B85:B86"/>
    <mergeCell ref="B88:B89"/>
    <mergeCell ref="B91:B92"/>
    <mergeCell ref="B94:B95"/>
    <mergeCell ref="B97:B98"/>
    <mergeCell ref="B100:B101"/>
    <mergeCell ref="B103:B104"/>
    <mergeCell ref="B106:B107"/>
    <mergeCell ref="B109:B110"/>
    <mergeCell ref="A302:B302"/>
    <mergeCell ref="A307:B307"/>
    <mergeCell ref="A310:B310"/>
    <mergeCell ref="A316:B316"/>
    <mergeCell ref="A319:F319"/>
    <mergeCell ref="A320:F320"/>
    <mergeCell ref="A321:F321"/>
    <mergeCell ref="B324:C324"/>
    <mergeCell ref="B334:F334"/>
    <mergeCell ref="B326:F328"/>
    <mergeCell ref="B330:F332"/>
    <mergeCell ref="A260:B260"/>
    <mergeCell ref="A266:B266"/>
    <mergeCell ref="A272:B272"/>
    <mergeCell ref="A276:B276"/>
    <mergeCell ref="A281:B281"/>
    <mergeCell ref="A284:B284"/>
    <mergeCell ref="A288:B288"/>
    <mergeCell ref="A292:B292"/>
    <mergeCell ref="A296:B296"/>
    <mergeCell ref="A213:B213"/>
    <mergeCell ref="A220:B220"/>
    <mergeCell ref="A224:B224"/>
    <mergeCell ref="A230:B230"/>
    <mergeCell ref="A234:B234"/>
    <mergeCell ref="A241:B241"/>
    <mergeCell ref="A246:B246"/>
    <mergeCell ref="A249:B249"/>
    <mergeCell ref="A257:B257"/>
    <mergeCell ref="A169:B169"/>
    <mergeCell ref="A173:B173"/>
    <mergeCell ref="A177:B177"/>
    <mergeCell ref="A180:B180"/>
    <mergeCell ref="A185:B185"/>
    <mergeCell ref="A192:B192"/>
    <mergeCell ref="A197:B197"/>
    <mergeCell ref="A204:B204"/>
    <mergeCell ref="A208:B208"/>
    <mergeCell ref="A112:G112"/>
    <mergeCell ref="A117:B117"/>
    <mergeCell ref="A128:B128"/>
    <mergeCell ref="A133:B133"/>
    <mergeCell ref="A137:B137"/>
    <mergeCell ref="A140:B140"/>
    <mergeCell ref="A154:B154"/>
    <mergeCell ref="A158:B158"/>
    <mergeCell ref="A163:B163"/>
    <mergeCell ref="C102:D102"/>
    <mergeCell ref="C103:D103"/>
    <mergeCell ref="C104:D104"/>
    <mergeCell ref="C105:D105"/>
    <mergeCell ref="C106:D106"/>
    <mergeCell ref="C107:D107"/>
    <mergeCell ref="C108:F108"/>
    <mergeCell ref="C109:F109"/>
    <mergeCell ref="C110:F110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56:D56"/>
    <mergeCell ref="C57:D57"/>
    <mergeCell ref="C61:D61"/>
    <mergeCell ref="C62:D62"/>
    <mergeCell ref="C63:D63"/>
    <mergeCell ref="C67:D67"/>
    <mergeCell ref="C68:D68"/>
    <mergeCell ref="C69:D69"/>
    <mergeCell ref="A73:B73"/>
    <mergeCell ref="C38:D38"/>
    <mergeCell ref="C39:D39"/>
    <mergeCell ref="C43:D43"/>
    <mergeCell ref="C44:D44"/>
    <mergeCell ref="C45:D45"/>
    <mergeCell ref="C49:D49"/>
    <mergeCell ref="C50:D50"/>
    <mergeCell ref="C51:D51"/>
    <mergeCell ref="C55:D55"/>
    <mergeCell ref="C20:D20"/>
    <mergeCell ref="C21:D21"/>
    <mergeCell ref="C25:D25"/>
    <mergeCell ref="C26:D26"/>
    <mergeCell ref="C27:D27"/>
    <mergeCell ref="C31:D31"/>
    <mergeCell ref="C32:D32"/>
    <mergeCell ref="C33:D33"/>
    <mergeCell ref="C37:D37"/>
    <mergeCell ref="A2:F2"/>
    <mergeCell ref="A4:B4"/>
    <mergeCell ref="C7:D7"/>
    <mergeCell ref="C8:D8"/>
    <mergeCell ref="C9:D9"/>
    <mergeCell ref="C13:D13"/>
    <mergeCell ref="C14:D14"/>
    <mergeCell ref="C15:D15"/>
    <mergeCell ref="C19:D19"/>
    <mergeCell ref="E8:E9"/>
    <mergeCell ref="E14:E15"/>
    <mergeCell ref="F8:F9"/>
    <mergeCell ref="F14:F15"/>
  </mergeCells>
  <pageMargins left="0.78749999999999998" right="0.78749999999999998" top="1.05277777777778" bottom="1.05277777777778" header="0.78749999999999998" footer="0.78749999999999998"/>
  <pageSetup paperSize="9" scale="75" firstPageNumber="0" orientation="landscape" useFirstPageNumber="1" horizontalDpi="300" verticalDpi="300" r:id="rId1"/>
  <headerFooter>
    <oddHeader>&amp;C&amp;"Times New Roman,Normal"&amp;12&amp;A</oddHeader>
    <oddFooter>&amp;C&amp;"Times New Roman,Normal"&amp;12Página &amp;P</oddFooter>
  </headerFooter>
  <rowBreaks count="2" manualBreakCount="2">
    <brk id="238" max="16383" man="1"/>
    <brk id="350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topLeftCell="A99" zoomScale="70" zoomScaleNormal="70" zoomScaleSheetLayoutView="90" workbookViewId="0">
      <selection activeCell="B115" sqref="B115:G115"/>
    </sheetView>
  </sheetViews>
  <sheetFormatPr defaultColWidth="9" defaultRowHeight="15"/>
  <cols>
    <col min="1" max="1" width="7.42578125" customWidth="1"/>
    <col min="2" max="2" width="9" customWidth="1"/>
    <col min="3" max="3" width="8.7109375" customWidth="1"/>
    <col min="4" max="4" width="10.28515625" customWidth="1"/>
    <col min="5" max="5" width="8.7109375" customWidth="1"/>
    <col min="6" max="6" width="17.140625" customWidth="1"/>
    <col min="7" max="7" width="24.42578125" customWidth="1"/>
    <col min="8" max="8" width="16.140625" customWidth="1"/>
    <col min="9" max="9" width="30.7109375" customWidth="1"/>
    <col min="10" max="10" width="23.42578125" customWidth="1"/>
    <col min="11" max="11" width="22.85546875" customWidth="1"/>
    <col min="12" max="12" width="26.140625" customWidth="1"/>
    <col min="13" max="1025" width="14.42578125" customWidth="1"/>
  </cols>
  <sheetData>
    <row r="1" spans="1:12" ht="15.75">
      <c r="A1" s="348" t="s">
        <v>314</v>
      </c>
      <c r="B1" s="348"/>
      <c r="C1" s="348"/>
      <c r="D1" s="348"/>
      <c r="E1" s="348"/>
      <c r="F1" s="348"/>
      <c r="G1" s="348"/>
      <c r="H1" s="348"/>
      <c r="I1" s="348"/>
      <c r="J1" s="366" t="s">
        <v>315</v>
      </c>
      <c r="K1" s="100"/>
      <c r="L1" s="100"/>
    </row>
    <row r="2" spans="1:12" ht="15.75">
      <c r="A2" s="349"/>
      <c r="B2" s="349"/>
      <c r="C2" s="349"/>
      <c r="D2" s="349"/>
      <c r="E2" s="349"/>
      <c r="F2" s="349"/>
      <c r="G2" s="349"/>
      <c r="H2" s="349"/>
      <c r="I2" s="349"/>
      <c r="J2" s="366"/>
      <c r="K2" s="100"/>
      <c r="L2" s="100"/>
    </row>
    <row r="3" spans="1:12" ht="15.75">
      <c r="A3" s="348" t="s">
        <v>316</v>
      </c>
      <c r="B3" s="348"/>
      <c r="C3" s="348"/>
      <c r="D3" s="348"/>
      <c r="E3" s="348"/>
      <c r="F3" s="348"/>
      <c r="G3" s="348"/>
      <c r="H3" s="350" t="s">
        <v>317</v>
      </c>
      <c r="I3" s="350"/>
      <c r="J3" s="366"/>
      <c r="K3" s="100"/>
      <c r="L3" s="100"/>
    </row>
    <row r="4" spans="1:12" ht="15.75">
      <c r="A4" s="348"/>
      <c r="B4" s="348"/>
      <c r="C4" s="348"/>
      <c r="D4" s="348"/>
      <c r="E4" s="348"/>
      <c r="F4" s="348"/>
      <c r="G4" s="348"/>
      <c r="H4" s="348"/>
      <c r="I4" s="348"/>
      <c r="J4" s="366"/>
      <c r="K4" s="101"/>
      <c r="L4" s="101"/>
    </row>
    <row r="5" spans="1:12" ht="15.75">
      <c r="A5" s="351" t="s">
        <v>318</v>
      </c>
      <c r="B5" s="351"/>
      <c r="C5" s="351"/>
      <c r="D5" s="351"/>
      <c r="E5" s="351"/>
      <c r="F5" s="351"/>
      <c r="G5" s="351"/>
      <c r="H5" s="351"/>
      <c r="I5" s="351"/>
      <c r="J5" s="366"/>
      <c r="K5" s="100"/>
      <c r="L5" s="100"/>
    </row>
    <row r="6" spans="1:12" ht="15.75">
      <c r="A6" s="63" t="s">
        <v>319</v>
      </c>
      <c r="B6" s="352" t="s">
        <v>320</v>
      </c>
      <c r="C6" s="352"/>
      <c r="D6" s="352"/>
      <c r="E6" s="352"/>
      <c r="F6" s="352"/>
      <c r="G6" s="352"/>
      <c r="H6" s="352"/>
      <c r="I6" s="102"/>
      <c r="J6" s="366"/>
      <c r="K6" s="103" t="s">
        <v>321</v>
      </c>
      <c r="L6" s="104"/>
    </row>
    <row r="7" spans="1:12" ht="15.75">
      <c r="A7" s="63" t="s">
        <v>322</v>
      </c>
      <c r="B7" s="352" t="s">
        <v>323</v>
      </c>
      <c r="C7" s="352"/>
      <c r="D7" s="352"/>
      <c r="E7" s="352"/>
      <c r="F7" s="352"/>
      <c r="G7" s="352"/>
      <c r="H7" s="352"/>
      <c r="I7" s="63" t="s">
        <v>324</v>
      </c>
      <c r="J7" s="366"/>
      <c r="K7" s="105" t="s">
        <v>325</v>
      </c>
      <c r="L7" s="106"/>
    </row>
    <row r="8" spans="1:12" ht="15.75">
      <c r="A8" s="63" t="s">
        <v>326</v>
      </c>
      <c r="B8" s="352" t="s">
        <v>327</v>
      </c>
      <c r="C8" s="352"/>
      <c r="D8" s="352"/>
      <c r="E8" s="352"/>
      <c r="F8" s="352"/>
      <c r="G8" s="352"/>
      <c r="H8" s="352"/>
      <c r="I8" s="63" t="s">
        <v>328</v>
      </c>
      <c r="J8" s="366"/>
      <c r="K8" s="107" t="s">
        <v>329</v>
      </c>
      <c r="L8" s="108">
        <f>J137</f>
        <v>3542.5062600000006</v>
      </c>
    </row>
    <row r="9" spans="1:12" ht="15.75">
      <c r="A9" s="63" t="s">
        <v>330</v>
      </c>
      <c r="B9" s="352" t="s">
        <v>331</v>
      </c>
      <c r="C9" s="352"/>
      <c r="D9" s="352"/>
      <c r="E9" s="352"/>
      <c r="F9" s="352"/>
      <c r="G9" s="352"/>
      <c r="H9" s="352"/>
      <c r="I9" s="63">
        <v>12</v>
      </c>
      <c r="J9" s="366"/>
      <c r="K9" s="109"/>
      <c r="L9" s="109"/>
    </row>
    <row r="10" spans="1:12" ht="15.75">
      <c r="A10" s="353"/>
      <c r="B10" s="353"/>
      <c r="C10" s="353"/>
      <c r="D10" s="353"/>
      <c r="E10" s="353"/>
      <c r="F10" s="353"/>
      <c r="G10" s="353"/>
      <c r="H10" s="353"/>
      <c r="I10" s="353"/>
      <c r="J10" s="366"/>
      <c r="K10" s="103" t="s">
        <v>332</v>
      </c>
      <c r="L10" s="104"/>
    </row>
    <row r="11" spans="1:12" ht="15.75">
      <c r="A11" s="351" t="s">
        <v>333</v>
      </c>
      <c r="B11" s="351"/>
      <c r="C11" s="351"/>
      <c r="D11" s="351"/>
      <c r="E11" s="351"/>
      <c r="F11" s="351"/>
      <c r="G11" s="351"/>
      <c r="H11" s="351"/>
      <c r="I11" s="351"/>
      <c r="J11" s="366"/>
      <c r="K11" s="110" t="s">
        <v>334</v>
      </c>
      <c r="L11" s="111"/>
    </row>
    <row r="12" spans="1:12" ht="15.75">
      <c r="A12" s="350" t="s">
        <v>335</v>
      </c>
      <c r="B12" s="350"/>
      <c r="C12" s="350" t="s">
        <v>336</v>
      </c>
      <c r="D12" s="350"/>
      <c r="E12" s="350" t="s">
        <v>337</v>
      </c>
      <c r="F12" s="350"/>
      <c r="G12" s="350"/>
      <c r="H12" s="350"/>
      <c r="I12" s="350"/>
      <c r="J12" s="366"/>
      <c r="K12" s="112" t="s">
        <v>338</v>
      </c>
      <c r="L12" s="113">
        <v>0.11</v>
      </c>
    </row>
    <row r="13" spans="1:12" ht="15.75">
      <c r="A13" s="354" t="s">
        <v>339</v>
      </c>
      <c r="B13" s="354"/>
      <c r="C13" s="355" t="s">
        <v>340</v>
      </c>
      <c r="D13" s="355"/>
      <c r="E13" s="350">
        <v>1</v>
      </c>
      <c r="F13" s="350"/>
      <c r="G13" s="350"/>
      <c r="H13" s="350"/>
      <c r="I13" s="350"/>
      <c r="J13" s="366"/>
      <c r="K13" s="114" t="s">
        <v>341</v>
      </c>
      <c r="L13" s="115">
        <f>I52</f>
        <v>473.82</v>
      </c>
    </row>
    <row r="14" spans="1:12" ht="15.75">
      <c r="A14" s="351" t="s">
        <v>342</v>
      </c>
      <c r="B14" s="351"/>
      <c r="C14" s="351"/>
      <c r="D14" s="351"/>
      <c r="E14" s="351"/>
      <c r="F14" s="351"/>
      <c r="G14" s="351"/>
      <c r="H14" s="351"/>
      <c r="I14" s="351"/>
      <c r="J14" s="366"/>
      <c r="K14" s="114" t="s">
        <v>343</v>
      </c>
      <c r="L14" s="115">
        <f>I104</f>
        <v>32.89</v>
      </c>
    </row>
    <row r="15" spans="1:12" ht="26.25">
      <c r="A15" s="63">
        <v>1</v>
      </c>
      <c r="B15" s="352" t="s">
        <v>344</v>
      </c>
      <c r="C15" s="352"/>
      <c r="D15" s="352"/>
      <c r="E15" s="352"/>
      <c r="F15" s="352"/>
      <c r="G15" s="352"/>
      <c r="H15" s="352"/>
      <c r="I15" s="69" t="s">
        <v>345</v>
      </c>
      <c r="J15" s="366"/>
      <c r="K15" s="114" t="s">
        <v>346</v>
      </c>
      <c r="L15" s="115">
        <f>I51</f>
        <v>0</v>
      </c>
    </row>
    <row r="16" spans="1:12" ht="15.75">
      <c r="A16" s="63">
        <v>2</v>
      </c>
      <c r="B16" s="352" t="s">
        <v>347</v>
      </c>
      <c r="C16" s="352"/>
      <c r="D16" s="352"/>
      <c r="E16" s="352"/>
      <c r="F16" s="352"/>
      <c r="G16" s="352"/>
      <c r="H16" s="352"/>
      <c r="I16" s="63" t="s">
        <v>348</v>
      </c>
      <c r="J16" s="366"/>
      <c r="K16" s="116" t="s">
        <v>349</v>
      </c>
      <c r="L16" s="117">
        <f>SUM(L13:L15)</f>
        <v>506.71</v>
      </c>
    </row>
    <row r="17" spans="1:12" ht="15.75">
      <c r="A17" s="63">
        <v>3</v>
      </c>
      <c r="B17" s="352" t="s">
        <v>350</v>
      </c>
      <c r="C17" s="352"/>
      <c r="D17" s="352"/>
      <c r="E17" s="352"/>
      <c r="F17" s="352"/>
      <c r="G17" s="352"/>
      <c r="H17" s="352"/>
      <c r="I17" s="204">
        <v>2020.11</v>
      </c>
      <c r="J17" s="366"/>
      <c r="K17" s="114" t="s">
        <v>351</v>
      </c>
      <c r="L17" s="118">
        <f>I138</f>
        <v>4723.8280000000004</v>
      </c>
    </row>
    <row r="18" spans="1:12" ht="38.25">
      <c r="A18" s="6">
        <v>4</v>
      </c>
      <c r="B18" s="356" t="s">
        <v>352</v>
      </c>
      <c r="C18" s="356"/>
      <c r="D18" s="356"/>
      <c r="E18" s="356"/>
      <c r="F18" s="356"/>
      <c r="G18" s="356"/>
      <c r="H18" s="356"/>
      <c r="I18" s="13" t="s">
        <v>353</v>
      </c>
      <c r="J18" s="366"/>
      <c r="K18" s="119" t="s">
        <v>354</v>
      </c>
      <c r="L18" s="120">
        <f>L17-L16</f>
        <v>4217.1180000000004</v>
      </c>
    </row>
    <row r="19" spans="1:12" ht="15.75">
      <c r="A19" s="63">
        <v>5</v>
      </c>
      <c r="B19" s="352" t="s">
        <v>355</v>
      </c>
      <c r="C19" s="352"/>
      <c r="D19" s="352"/>
      <c r="E19" s="352"/>
      <c r="F19" s="352"/>
      <c r="G19" s="352"/>
      <c r="H19" s="352"/>
      <c r="I19" s="102" t="s">
        <v>356</v>
      </c>
      <c r="J19" s="366"/>
      <c r="K19" s="121" t="s">
        <v>357</v>
      </c>
      <c r="L19" s="122">
        <f>L18*11%</f>
        <v>463.88298000000003</v>
      </c>
    </row>
    <row r="20" spans="1:12" ht="15.75">
      <c r="A20" s="357"/>
      <c r="B20" s="357"/>
      <c r="C20" s="357"/>
      <c r="D20" s="357"/>
      <c r="E20" s="357"/>
      <c r="F20" s="357"/>
      <c r="G20" s="357"/>
      <c r="H20" s="357"/>
      <c r="I20" s="357"/>
      <c r="J20" s="366"/>
      <c r="K20" s="112" t="s">
        <v>358</v>
      </c>
      <c r="L20" s="123"/>
    </row>
    <row r="21" spans="1:12" ht="15.75" customHeight="1">
      <c r="A21" s="351" t="s">
        <v>359</v>
      </c>
      <c r="B21" s="351"/>
      <c r="C21" s="351"/>
      <c r="D21" s="351"/>
      <c r="E21" s="351"/>
      <c r="F21" s="351"/>
      <c r="G21" s="351"/>
      <c r="H21" s="351"/>
      <c r="I21" s="351"/>
      <c r="J21" s="366"/>
      <c r="K21" s="124" t="s">
        <v>360</v>
      </c>
      <c r="L21" s="125">
        <v>1.2E-2</v>
      </c>
    </row>
    <row r="22" spans="1:12" ht="15.75" customHeight="1">
      <c r="A22" s="95">
        <v>1</v>
      </c>
      <c r="B22" s="351" t="s">
        <v>361</v>
      </c>
      <c r="C22" s="351"/>
      <c r="D22" s="351"/>
      <c r="E22" s="351"/>
      <c r="F22" s="351"/>
      <c r="G22" s="351"/>
      <c r="H22" s="96" t="s">
        <v>362</v>
      </c>
      <c r="I22" s="96" t="s">
        <v>363</v>
      </c>
      <c r="J22" s="366"/>
      <c r="K22" s="126" t="s">
        <v>364</v>
      </c>
      <c r="L22" s="127">
        <v>4.8000000000000001E-2</v>
      </c>
    </row>
    <row r="23" spans="1:12" ht="15.75" customHeight="1">
      <c r="A23" s="95" t="s">
        <v>319</v>
      </c>
      <c r="B23" s="352" t="s">
        <v>365</v>
      </c>
      <c r="C23" s="352"/>
      <c r="D23" s="352"/>
      <c r="E23" s="352"/>
      <c r="F23" s="352"/>
      <c r="G23" s="352"/>
      <c r="H23" s="62"/>
      <c r="I23" s="128">
        <f>I17</f>
        <v>2020.11</v>
      </c>
      <c r="J23" s="366"/>
      <c r="K23" s="114" t="s">
        <v>366</v>
      </c>
      <c r="L23" s="118">
        <f>L17</f>
        <v>4723.8280000000004</v>
      </c>
    </row>
    <row r="24" spans="1:12" ht="15.75" customHeight="1">
      <c r="A24" s="95" t="s">
        <v>322</v>
      </c>
      <c r="B24" s="352" t="s">
        <v>367</v>
      </c>
      <c r="C24" s="352"/>
      <c r="D24" s="352"/>
      <c r="E24" s="352"/>
      <c r="F24" s="352"/>
      <c r="G24" s="352"/>
      <c r="H24" s="97"/>
      <c r="I24" s="128">
        <v>0</v>
      </c>
      <c r="J24" s="366"/>
      <c r="K24" s="121" t="s">
        <v>368</v>
      </c>
      <c r="L24" s="122">
        <f>L23*L21</f>
        <v>56.685936000000005</v>
      </c>
    </row>
    <row r="25" spans="1:12" ht="15.75" customHeight="1">
      <c r="A25" s="95" t="s">
        <v>326</v>
      </c>
      <c r="B25" s="352" t="s">
        <v>369</v>
      </c>
      <c r="C25" s="352"/>
      <c r="D25" s="352"/>
      <c r="E25" s="352"/>
      <c r="F25" s="352"/>
      <c r="G25" s="352"/>
      <c r="H25" s="97"/>
      <c r="I25" s="128">
        <v>0</v>
      </c>
      <c r="J25" s="366"/>
      <c r="K25" s="112" t="s">
        <v>370</v>
      </c>
      <c r="L25" s="113">
        <v>0.01</v>
      </c>
    </row>
    <row r="26" spans="1:12" ht="15.75" customHeight="1">
      <c r="A26" s="95" t="s">
        <v>330</v>
      </c>
      <c r="B26" s="352" t="s">
        <v>371</v>
      </c>
      <c r="C26" s="352"/>
      <c r="D26" s="352"/>
      <c r="E26" s="352"/>
      <c r="F26" s="352"/>
      <c r="G26" s="352"/>
      <c r="H26" s="97"/>
      <c r="I26" s="128">
        <v>0</v>
      </c>
      <c r="J26" s="366"/>
      <c r="K26" s="119" t="s">
        <v>351</v>
      </c>
      <c r="L26" s="120">
        <f>L17</f>
        <v>4723.8280000000004</v>
      </c>
    </row>
    <row r="27" spans="1:12" ht="15.75" customHeight="1">
      <c r="A27" s="95" t="s">
        <v>372</v>
      </c>
      <c r="B27" s="352" t="s">
        <v>373</v>
      </c>
      <c r="C27" s="352"/>
      <c r="D27" s="352"/>
      <c r="E27" s="352"/>
      <c r="F27" s="352"/>
      <c r="G27" s="352"/>
      <c r="H27" s="97"/>
      <c r="I27" s="128">
        <v>0</v>
      </c>
      <c r="J27" s="366"/>
      <c r="K27" s="121" t="s">
        <v>357</v>
      </c>
      <c r="L27" s="122">
        <f>L26*L25</f>
        <v>47.238280000000003</v>
      </c>
    </row>
    <row r="28" spans="1:12" ht="15.75" customHeight="1">
      <c r="A28" s="95" t="s">
        <v>374</v>
      </c>
      <c r="B28" s="352" t="s">
        <v>375</v>
      </c>
      <c r="C28" s="352"/>
      <c r="D28" s="352"/>
      <c r="E28" s="352"/>
      <c r="F28" s="352"/>
      <c r="G28" s="352"/>
      <c r="H28" s="97"/>
      <c r="I28" s="128">
        <v>0</v>
      </c>
      <c r="J28" s="366"/>
      <c r="K28" s="112" t="s">
        <v>376</v>
      </c>
      <c r="L28" s="113">
        <f>H117</f>
        <v>2.6599999999999999E-2</v>
      </c>
    </row>
    <row r="29" spans="1:12" ht="15.75" customHeight="1">
      <c r="A29" s="351" t="s">
        <v>377</v>
      </c>
      <c r="B29" s="351"/>
      <c r="C29" s="351"/>
      <c r="D29" s="351"/>
      <c r="E29" s="351"/>
      <c r="F29" s="351"/>
      <c r="G29" s="351"/>
      <c r="H29" s="351"/>
      <c r="I29" s="129">
        <f>SUM(I23:I28)</f>
        <v>2020.11</v>
      </c>
      <c r="J29" s="130">
        <f>SUM(I23:I28)</f>
        <v>2020.11</v>
      </c>
      <c r="K29" s="119" t="s">
        <v>351</v>
      </c>
      <c r="L29" s="120">
        <f>L17</f>
        <v>4723.8280000000004</v>
      </c>
    </row>
    <row r="30" spans="1:12" ht="15.7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131"/>
      <c r="K30" s="121" t="s">
        <v>357</v>
      </c>
      <c r="L30" s="122">
        <f>L29*L28</f>
        <v>125.65382480000001</v>
      </c>
    </row>
    <row r="31" spans="1:12" ht="15.75" customHeight="1">
      <c r="A31" s="351" t="s">
        <v>378</v>
      </c>
      <c r="B31" s="351"/>
      <c r="C31" s="351"/>
      <c r="D31" s="351"/>
      <c r="E31" s="351"/>
      <c r="F31" s="351"/>
      <c r="G31" s="351"/>
      <c r="H31" s="351"/>
      <c r="I31" s="351"/>
      <c r="J31" s="131"/>
      <c r="K31" s="112" t="s">
        <v>379</v>
      </c>
      <c r="L31" s="113">
        <f>H116</f>
        <v>5.7999999999999996E-3</v>
      </c>
    </row>
    <row r="32" spans="1:12" ht="15.75" customHeight="1">
      <c r="A32" s="351" t="s">
        <v>380</v>
      </c>
      <c r="B32" s="351"/>
      <c r="C32" s="351"/>
      <c r="D32" s="351"/>
      <c r="E32" s="351"/>
      <c r="F32" s="351"/>
      <c r="G32" s="351"/>
      <c r="H32" s="96" t="s">
        <v>362</v>
      </c>
      <c r="I32" s="96" t="s">
        <v>363</v>
      </c>
      <c r="J32" s="132"/>
      <c r="K32" s="119" t="s">
        <v>351</v>
      </c>
      <c r="L32" s="120">
        <f>L17</f>
        <v>4723.8280000000004</v>
      </c>
    </row>
    <row r="33" spans="1:12" ht="15.75" customHeight="1">
      <c r="A33" s="95" t="s">
        <v>319</v>
      </c>
      <c r="B33" s="352" t="s">
        <v>381</v>
      </c>
      <c r="C33" s="352"/>
      <c r="D33" s="352"/>
      <c r="E33" s="352"/>
      <c r="F33" s="352"/>
      <c r="G33" s="352"/>
      <c r="H33" s="97">
        <f>ROUND(1/12,4)</f>
        <v>8.3299999999999999E-2</v>
      </c>
      <c r="I33" s="133">
        <f>ROUND(I29*H33,2)</f>
        <v>168.28</v>
      </c>
      <c r="J33" s="130">
        <f>I33+(I33*$H$48)</f>
        <v>226.84144000000001</v>
      </c>
      <c r="K33" s="121" t="s">
        <v>357</v>
      </c>
      <c r="L33" s="122">
        <f>L32*L31</f>
        <v>27.398202399999999</v>
      </c>
    </row>
    <row r="34" spans="1:12" ht="15.75" customHeight="1">
      <c r="A34" s="95" t="s">
        <v>322</v>
      </c>
      <c r="B34" s="352" t="s">
        <v>382</v>
      </c>
      <c r="C34" s="352"/>
      <c r="D34" s="352"/>
      <c r="E34" s="352"/>
      <c r="F34" s="352"/>
      <c r="G34" s="352"/>
      <c r="H34" s="97">
        <v>0.121</v>
      </c>
      <c r="I34" s="133">
        <f>ROUND(I29*H34,2)</f>
        <v>244.43</v>
      </c>
      <c r="J34" s="130">
        <f>I34+(I34*$H$48)</f>
        <v>329.49164000000002</v>
      </c>
      <c r="K34" s="112" t="s">
        <v>383</v>
      </c>
      <c r="L34" s="113">
        <f>H118</f>
        <v>0.05</v>
      </c>
    </row>
    <row r="35" spans="1:12" ht="15.75" customHeight="1">
      <c r="A35" s="351" t="s">
        <v>384</v>
      </c>
      <c r="B35" s="351"/>
      <c r="C35" s="351"/>
      <c r="D35" s="351"/>
      <c r="E35" s="351"/>
      <c r="F35" s="351"/>
      <c r="G35" s="351"/>
      <c r="H35" s="98">
        <f>SUM(H33:H34)</f>
        <v>0.20430000000000001</v>
      </c>
      <c r="I35" s="129">
        <f>SUM(I33:I34)</f>
        <v>412.71</v>
      </c>
      <c r="J35" s="134"/>
      <c r="K35" s="119" t="s">
        <v>351</v>
      </c>
      <c r="L35" s="120">
        <f>L17</f>
        <v>4723.8280000000004</v>
      </c>
    </row>
    <row r="36" spans="1:12" ht="15.75" customHeight="1">
      <c r="A36" s="369" t="s">
        <v>385</v>
      </c>
      <c r="B36" s="369"/>
      <c r="C36" s="369"/>
      <c r="D36" s="369"/>
      <c r="E36" s="369"/>
      <c r="F36" s="369"/>
      <c r="G36" s="358" t="s">
        <v>386</v>
      </c>
      <c r="H36" s="358"/>
      <c r="I36" s="135">
        <f>I29</f>
        <v>2020.11</v>
      </c>
      <c r="J36" s="136"/>
      <c r="K36" s="121" t="s">
        <v>357</v>
      </c>
      <c r="L36" s="122">
        <f>L35*L34</f>
        <v>236.19140000000004</v>
      </c>
    </row>
    <row r="37" spans="1:12" ht="15.75" customHeight="1">
      <c r="A37" s="369"/>
      <c r="B37" s="369"/>
      <c r="C37" s="369"/>
      <c r="D37" s="369"/>
      <c r="E37" s="369"/>
      <c r="F37" s="369"/>
      <c r="G37" s="358" t="s">
        <v>387</v>
      </c>
      <c r="H37" s="358"/>
      <c r="I37" s="135">
        <f>I35</f>
        <v>412.71</v>
      </c>
      <c r="J37" s="137"/>
      <c r="K37" s="138" t="s">
        <v>388</v>
      </c>
      <c r="L37" s="139">
        <f>L19+L24+L27+L30+L33+L36</f>
        <v>957.05062320000013</v>
      </c>
    </row>
    <row r="38" spans="1:12" ht="15.75" customHeight="1">
      <c r="A38" s="369"/>
      <c r="B38" s="369"/>
      <c r="C38" s="369"/>
      <c r="D38" s="369"/>
      <c r="E38" s="369"/>
      <c r="F38" s="369"/>
      <c r="G38" s="359" t="s">
        <v>389</v>
      </c>
      <c r="H38" s="359"/>
      <c r="I38" s="140">
        <f>SUM(I36:I37)</f>
        <v>2432.8200000000002</v>
      </c>
      <c r="J38" s="136"/>
      <c r="K38" s="141"/>
      <c r="L38" s="141"/>
    </row>
    <row r="39" spans="1:12" ht="15.75" customHeight="1">
      <c r="A39" s="351" t="s">
        <v>390</v>
      </c>
      <c r="B39" s="351"/>
      <c r="C39" s="351"/>
      <c r="D39" s="351"/>
      <c r="E39" s="351"/>
      <c r="F39" s="351"/>
      <c r="G39" s="351"/>
      <c r="H39" s="96" t="s">
        <v>362</v>
      </c>
      <c r="I39" s="96" t="s">
        <v>363</v>
      </c>
      <c r="J39" s="136"/>
      <c r="K39" s="142" t="s">
        <v>391</v>
      </c>
      <c r="L39" s="143"/>
    </row>
    <row r="40" spans="1:12" ht="15.75" customHeight="1">
      <c r="A40" s="95" t="s">
        <v>319</v>
      </c>
      <c r="B40" s="352" t="s">
        <v>392</v>
      </c>
      <c r="C40" s="352"/>
      <c r="D40" s="352"/>
      <c r="E40" s="352"/>
      <c r="F40" s="352"/>
      <c r="G40" s="352"/>
      <c r="H40" s="97">
        <v>0.2</v>
      </c>
      <c r="I40" s="133">
        <f t="shared" ref="I40:I47" si="0">ROUND($I$38*H40,2)</f>
        <v>486.56</v>
      </c>
      <c r="J40" s="144" t="s">
        <v>393</v>
      </c>
      <c r="K40" s="145" t="s">
        <v>394</v>
      </c>
      <c r="L40" s="146"/>
    </row>
    <row r="41" spans="1:12" ht="15.75" customHeight="1">
      <c r="A41" s="95" t="s">
        <v>322</v>
      </c>
      <c r="B41" s="352" t="s">
        <v>395</v>
      </c>
      <c r="C41" s="352"/>
      <c r="D41" s="352"/>
      <c r="E41" s="352"/>
      <c r="F41" s="352"/>
      <c r="G41" s="352"/>
      <c r="H41" s="97">
        <v>2.5000000000000001E-2</v>
      </c>
      <c r="I41" s="133">
        <f t="shared" si="0"/>
        <v>60.82</v>
      </c>
      <c r="J41" s="130">
        <f t="shared" ref="J41:J47" si="1">$I$29*H41</f>
        <v>50.502749999999999</v>
      </c>
      <c r="K41" s="147" t="s">
        <v>394</v>
      </c>
      <c r="L41" s="148">
        <f>L8+L37</f>
        <v>4499.5568832000008</v>
      </c>
    </row>
    <row r="42" spans="1:12" ht="15.75" customHeight="1">
      <c r="A42" s="95" t="s">
        <v>326</v>
      </c>
      <c r="B42" s="352" t="s">
        <v>396</v>
      </c>
      <c r="C42" s="352"/>
      <c r="D42" s="352"/>
      <c r="E42" s="352"/>
      <c r="F42" s="352"/>
      <c r="G42" s="352"/>
      <c r="H42" s="402">
        <v>0.01</v>
      </c>
      <c r="I42" s="133">
        <f t="shared" si="0"/>
        <v>24.33</v>
      </c>
      <c r="J42" s="144" t="s">
        <v>393</v>
      </c>
      <c r="K42" s="109"/>
      <c r="L42" s="149"/>
    </row>
    <row r="43" spans="1:12" ht="15.75" customHeight="1">
      <c r="A43" s="95" t="s">
        <v>330</v>
      </c>
      <c r="B43" s="352" t="s">
        <v>397</v>
      </c>
      <c r="C43" s="352"/>
      <c r="D43" s="352"/>
      <c r="E43" s="352"/>
      <c r="F43" s="352"/>
      <c r="G43" s="352"/>
      <c r="H43" s="97">
        <v>1.4999999999999999E-2</v>
      </c>
      <c r="I43" s="133">
        <f t="shared" si="0"/>
        <v>36.49</v>
      </c>
      <c r="J43" s="130">
        <f t="shared" si="1"/>
        <v>30.301649999999999</v>
      </c>
      <c r="K43" s="109"/>
      <c r="L43" s="149"/>
    </row>
    <row r="44" spans="1:12" ht="15.75" customHeight="1">
      <c r="A44" s="95" t="s">
        <v>372</v>
      </c>
      <c r="B44" s="352" t="s">
        <v>398</v>
      </c>
      <c r="C44" s="352"/>
      <c r="D44" s="352"/>
      <c r="E44" s="352"/>
      <c r="F44" s="352"/>
      <c r="G44" s="352"/>
      <c r="H44" s="97">
        <v>0.01</v>
      </c>
      <c r="I44" s="133">
        <f t="shared" si="0"/>
        <v>24.33</v>
      </c>
      <c r="J44" s="130">
        <f t="shared" si="1"/>
        <v>20.2011</v>
      </c>
      <c r="K44" s="109"/>
      <c r="L44" s="149"/>
    </row>
    <row r="45" spans="1:12" ht="15.75" customHeight="1">
      <c r="A45" s="95" t="s">
        <v>374</v>
      </c>
      <c r="B45" s="352" t="s">
        <v>399</v>
      </c>
      <c r="C45" s="352"/>
      <c r="D45" s="352"/>
      <c r="E45" s="352"/>
      <c r="F45" s="352"/>
      <c r="G45" s="352"/>
      <c r="H45" s="97">
        <v>6.0000000000000001E-3</v>
      </c>
      <c r="I45" s="133">
        <f t="shared" si="0"/>
        <v>14.6</v>
      </c>
      <c r="J45" s="130">
        <f t="shared" si="1"/>
        <v>12.120660000000001</v>
      </c>
      <c r="K45" s="109"/>
      <c r="L45" s="149"/>
    </row>
    <row r="46" spans="1:12" ht="15.75" customHeight="1">
      <c r="A46" s="95" t="s">
        <v>400</v>
      </c>
      <c r="B46" s="352" t="s">
        <v>401</v>
      </c>
      <c r="C46" s="352"/>
      <c r="D46" s="352"/>
      <c r="E46" s="352"/>
      <c r="F46" s="352"/>
      <c r="G46" s="352"/>
      <c r="H46" s="97">
        <v>2E-3</v>
      </c>
      <c r="I46" s="133">
        <f t="shared" si="0"/>
        <v>4.87</v>
      </c>
      <c r="J46" s="130">
        <f t="shared" si="1"/>
        <v>4.0402199999999997</v>
      </c>
      <c r="K46" s="109"/>
      <c r="L46" s="149"/>
    </row>
    <row r="47" spans="1:12" ht="15.75" customHeight="1">
      <c r="A47" s="95" t="s">
        <v>402</v>
      </c>
      <c r="B47" s="352" t="s">
        <v>403</v>
      </c>
      <c r="C47" s="352"/>
      <c r="D47" s="352"/>
      <c r="E47" s="352"/>
      <c r="F47" s="352"/>
      <c r="G47" s="352"/>
      <c r="H47" s="97">
        <v>0.08</v>
      </c>
      <c r="I47" s="133">
        <f t="shared" si="0"/>
        <v>194.63</v>
      </c>
      <c r="J47" s="130">
        <f t="shared" si="1"/>
        <v>161.6088</v>
      </c>
      <c r="K47" s="360" t="s">
        <v>404</v>
      </c>
      <c r="L47" s="360"/>
    </row>
    <row r="48" spans="1:12" ht="15.75" customHeight="1">
      <c r="A48" s="351" t="s">
        <v>405</v>
      </c>
      <c r="B48" s="351"/>
      <c r="C48" s="351"/>
      <c r="D48" s="351"/>
      <c r="E48" s="351"/>
      <c r="F48" s="351"/>
      <c r="G48" s="351"/>
      <c r="H48" s="98">
        <f>SUM(H40:H47)</f>
        <v>0.34800000000000003</v>
      </c>
      <c r="I48" s="129">
        <f>SUM(I40:I47)</f>
        <v>846.63000000000011</v>
      </c>
      <c r="J48" s="137"/>
      <c r="K48" s="361" t="s">
        <v>406</v>
      </c>
      <c r="L48" s="361"/>
    </row>
    <row r="49" spans="1:12" ht="15.75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137"/>
      <c r="K49" s="150" t="s">
        <v>407</v>
      </c>
      <c r="L49" s="151">
        <v>1</v>
      </c>
    </row>
    <row r="50" spans="1:12" ht="15.75" customHeight="1">
      <c r="A50" s="351" t="s">
        <v>408</v>
      </c>
      <c r="B50" s="351"/>
      <c r="C50" s="351"/>
      <c r="D50" s="351"/>
      <c r="E50" s="351"/>
      <c r="F50" s="351"/>
      <c r="G50" s="351"/>
      <c r="H50" s="98"/>
      <c r="I50" s="96" t="s">
        <v>363</v>
      </c>
      <c r="J50" s="137"/>
      <c r="K50" s="367" t="s">
        <v>409</v>
      </c>
      <c r="L50" s="368">
        <f>L41</f>
        <v>4499.5568832000008</v>
      </c>
    </row>
    <row r="51" spans="1:12" ht="15.75" customHeight="1">
      <c r="A51" s="95" t="s">
        <v>319</v>
      </c>
      <c r="B51" s="357" t="s">
        <v>410</v>
      </c>
      <c r="C51" s="357"/>
      <c r="D51" s="357"/>
      <c r="E51" s="357"/>
      <c r="F51" s="357"/>
      <c r="G51" s="357"/>
      <c r="H51" s="99" t="s">
        <v>303</v>
      </c>
      <c r="I51" s="128">
        <v>0</v>
      </c>
      <c r="J51" s="130">
        <f t="shared" ref="J51:J54" si="2">I51</f>
        <v>0</v>
      </c>
      <c r="K51" s="367"/>
      <c r="L51" s="368"/>
    </row>
    <row r="52" spans="1:12" ht="15.75" customHeight="1">
      <c r="A52" s="95" t="s">
        <v>322</v>
      </c>
      <c r="B52" s="357" t="s">
        <v>411</v>
      </c>
      <c r="C52" s="357"/>
      <c r="D52" s="357"/>
      <c r="E52" s="357"/>
      <c r="F52" s="357"/>
      <c r="G52" s="357"/>
      <c r="H52" s="63" t="s">
        <v>303</v>
      </c>
      <c r="I52" s="128">
        <v>473.82</v>
      </c>
      <c r="J52" s="130">
        <f t="shared" si="2"/>
        <v>473.82</v>
      </c>
      <c r="K52" s="367"/>
      <c r="L52" s="368"/>
    </row>
    <row r="53" spans="1:12" ht="15.75" customHeight="1">
      <c r="A53" s="95" t="s">
        <v>326</v>
      </c>
      <c r="B53" s="357" t="s">
        <v>412</v>
      </c>
      <c r="C53" s="357"/>
      <c r="D53" s="357"/>
      <c r="E53" s="357"/>
      <c r="F53" s="357"/>
      <c r="G53" s="357"/>
      <c r="H53" s="63" t="s">
        <v>303</v>
      </c>
      <c r="I53" s="128">
        <f>(52.15+78.22)*0.4</f>
        <v>52.148000000000003</v>
      </c>
      <c r="J53" s="130">
        <f t="shared" si="2"/>
        <v>52.148000000000003</v>
      </c>
      <c r="K53" s="153" t="s">
        <v>413</v>
      </c>
      <c r="L53" s="152">
        <f>I138</f>
        <v>4723.8280000000004</v>
      </c>
    </row>
    <row r="54" spans="1:12" ht="15.75" customHeight="1">
      <c r="A54" s="95" t="s">
        <v>330</v>
      </c>
      <c r="B54" s="357" t="s">
        <v>414</v>
      </c>
      <c r="C54" s="357"/>
      <c r="D54" s="357"/>
      <c r="E54" s="357"/>
      <c r="F54" s="357"/>
      <c r="G54" s="357"/>
      <c r="H54" s="63" t="s">
        <v>303</v>
      </c>
      <c r="I54" s="128">
        <f>ROUND((I23*26)*0.002/12,2)</f>
        <v>8.75</v>
      </c>
      <c r="J54" s="130">
        <f t="shared" si="2"/>
        <v>8.75</v>
      </c>
      <c r="K54" s="154" t="s">
        <v>415</v>
      </c>
      <c r="L54" s="155">
        <f>L41</f>
        <v>4499.5568832000008</v>
      </c>
    </row>
    <row r="55" spans="1:12" ht="15.75" customHeight="1">
      <c r="A55" s="351" t="s">
        <v>416</v>
      </c>
      <c r="B55" s="351"/>
      <c r="C55" s="351"/>
      <c r="D55" s="351"/>
      <c r="E55" s="351"/>
      <c r="F55" s="351"/>
      <c r="G55" s="351"/>
      <c r="H55" s="351"/>
      <c r="I55" s="129">
        <f>SUM(I51:I54)</f>
        <v>534.71799999999996</v>
      </c>
      <c r="J55" s="134"/>
      <c r="K55" s="156" t="s">
        <v>417</v>
      </c>
      <c r="L55" s="157">
        <f>L53-L54</f>
        <v>224.27111679999962</v>
      </c>
    </row>
    <row r="56" spans="1:12" ht="15.75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134"/>
      <c r="K56" s="158" t="s">
        <v>418</v>
      </c>
      <c r="L56" s="159">
        <f>SUM(I68:I71,I96,I104,I113)</f>
        <v>294.56</v>
      </c>
    </row>
    <row r="57" spans="1:12" ht="15.75" customHeight="1">
      <c r="A57" s="351" t="s">
        <v>419</v>
      </c>
      <c r="B57" s="351"/>
      <c r="C57" s="351"/>
      <c r="D57" s="351"/>
      <c r="E57" s="351"/>
      <c r="F57" s="351"/>
      <c r="G57" s="351"/>
      <c r="H57" s="351"/>
      <c r="I57" s="351"/>
      <c r="J57" s="134"/>
      <c r="K57" s="158" t="s">
        <v>420</v>
      </c>
      <c r="L57" s="160">
        <f>L55-L56</f>
        <v>-70.288883200000384</v>
      </c>
    </row>
    <row r="58" spans="1:12" ht="15.75" customHeight="1">
      <c r="A58" s="351" t="s">
        <v>421</v>
      </c>
      <c r="B58" s="351"/>
      <c r="C58" s="351"/>
      <c r="D58" s="351"/>
      <c r="E58" s="351"/>
      <c r="F58" s="351"/>
      <c r="G58" s="351"/>
      <c r="H58" s="351"/>
      <c r="I58" s="96" t="s">
        <v>363</v>
      </c>
      <c r="J58" s="134"/>
      <c r="K58" s="161" t="s">
        <v>422</v>
      </c>
      <c r="L58" s="162">
        <f>ROUND(L57*L49,2)</f>
        <v>-70.290000000000006</v>
      </c>
    </row>
    <row r="59" spans="1:12" ht="15.75" customHeight="1">
      <c r="A59" s="95" t="s">
        <v>215</v>
      </c>
      <c r="B59" s="352" t="s">
        <v>423</v>
      </c>
      <c r="C59" s="352"/>
      <c r="D59" s="352"/>
      <c r="E59" s="352"/>
      <c r="F59" s="352"/>
      <c r="G59" s="352"/>
      <c r="H59" s="352"/>
      <c r="I59" s="133">
        <f>I35</f>
        <v>412.71</v>
      </c>
      <c r="J59" s="134"/>
      <c r="K59" s="161" t="s">
        <v>424</v>
      </c>
      <c r="L59" s="162">
        <f>ROUND((L57*12)*L49,2)</f>
        <v>-843.47</v>
      </c>
    </row>
    <row r="60" spans="1:12" ht="15.75" customHeight="1">
      <c r="A60" s="95" t="s">
        <v>245</v>
      </c>
      <c r="B60" s="352" t="s">
        <v>425</v>
      </c>
      <c r="C60" s="352"/>
      <c r="D60" s="352"/>
      <c r="E60" s="352"/>
      <c r="F60" s="352"/>
      <c r="G60" s="352"/>
      <c r="H60" s="352"/>
      <c r="I60" s="133">
        <f>I48</f>
        <v>846.63000000000011</v>
      </c>
      <c r="J60" s="134"/>
      <c r="K60" s="372" t="s">
        <v>426</v>
      </c>
      <c r="L60" s="372"/>
    </row>
    <row r="61" spans="1:12" ht="15.75" customHeight="1">
      <c r="A61" s="95" t="s">
        <v>257</v>
      </c>
      <c r="B61" s="352" t="s">
        <v>427</v>
      </c>
      <c r="C61" s="352"/>
      <c r="D61" s="352"/>
      <c r="E61" s="352"/>
      <c r="F61" s="352"/>
      <c r="G61" s="352"/>
      <c r="H61" s="352"/>
      <c r="I61" s="133">
        <f>I55</f>
        <v>534.71799999999996</v>
      </c>
      <c r="J61" s="134"/>
      <c r="K61" s="372"/>
      <c r="L61" s="372"/>
    </row>
    <row r="62" spans="1:12" ht="15.75" customHeight="1">
      <c r="A62" s="351" t="s">
        <v>428</v>
      </c>
      <c r="B62" s="351"/>
      <c r="C62" s="351"/>
      <c r="D62" s="351"/>
      <c r="E62" s="351"/>
      <c r="F62" s="351"/>
      <c r="G62" s="351"/>
      <c r="H62" s="351"/>
      <c r="I62" s="129">
        <f>SUM(I59:I61)</f>
        <v>1794.058</v>
      </c>
      <c r="J62" s="134"/>
      <c r="K62" s="372"/>
      <c r="L62" s="372"/>
    </row>
    <row r="63" spans="1:12" ht="15.75" customHeight="1">
      <c r="A63" s="370" t="s">
        <v>429</v>
      </c>
      <c r="B63" s="370"/>
      <c r="C63" s="370"/>
      <c r="D63" s="370"/>
      <c r="E63" s="370"/>
      <c r="F63" s="370"/>
      <c r="G63" s="358" t="s">
        <v>386</v>
      </c>
      <c r="H63" s="358"/>
      <c r="I63" s="135">
        <f>I29</f>
        <v>2020.11</v>
      </c>
      <c r="J63" s="134"/>
      <c r="K63" s="372"/>
      <c r="L63" s="372"/>
    </row>
    <row r="64" spans="1:12" ht="15.75" customHeight="1">
      <c r="A64" s="370"/>
      <c r="B64" s="370"/>
      <c r="C64" s="370"/>
      <c r="D64" s="370"/>
      <c r="E64" s="370"/>
      <c r="F64" s="370"/>
      <c r="G64" s="358" t="s">
        <v>430</v>
      </c>
      <c r="H64" s="358"/>
      <c r="I64" s="135">
        <f>I62</f>
        <v>1794.058</v>
      </c>
      <c r="J64" s="134"/>
      <c r="K64" s="372"/>
      <c r="L64" s="372"/>
    </row>
    <row r="65" spans="1:12" ht="15.75" customHeight="1">
      <c r="A65" s="370"/>
      <c r="B65" s="370"/>
      <c r="C65" s="370"/>
      <c r="D65" s="370"/>
      <c r="E65" s="370"/>
      <c r="F65" s="370"/>
      <c r="G65" s="359" t="s">
        <v>389</v>
      </c>
      <c r="H65" s="359"/>
      <c r="I65" s="140">
        <f>SUM(I63:I64)</f>
        <v>3814.1679999999997</v>
      </c>
      <c r="J65" s="134"/>
      <c r="K65" s="372"/>
      <c r="L65" s="372"/>
    </row>
    <row r="66" spans="1:12" ht="15.75" customHeight="1">
      <c r="A66" s="351" t="s">
        <v>431</v>
      </c>
      <c r="B66" s="351"/>
      <c r="C66" s="351"/>
      <c r="D66" s="351"/>
      <c r="E66" s="351"/>
      <c r="F66" s="351"/>
      <c r="G66" s="351"/>
      <c r="H66" s="351"/>
      <c r="I66" s="351"/>
      <c r="J66" s="134"/>
      <c r="K66" s="372"/>
      <c r="L66" s="372"/>
    </row>
    <row r="67" spans="1:12" ht="15.75" customHeight="1">
      <c r="A67" s="205">
        <v>3</v>
      </c>
      <c r="B67" s="351" t="s">
        <v>432</v>
      </c>
      <c r="C67" s="351"/>
      <c r="D67" s="351"/>
      <c r="E67" s="351"/>
      <c r="F67" s="351"/>
      <c r="G67" s="351"/>
      <c r="H67" s="96" t="s">
        <v>362</v>
      </c>
      <c r="I67" s="96" t="s">
        <v>363</v>
      </c>
      <c r="J67" s="134"/>
      <c r="K67" s="372"/>
      <c r="L67" s="372"/>
    </row>
    <row r="68" spans="1:12" ht="15.75" customHeight="1">
      <c r="A68" s="95" t="s">
        <v>319</v>
      </c>
      <c r="B68" s="352" t="s">
        <v>433</v>
      </c>
      <c r="C68" s="352"/>
      <c r="D68" s="352"/>
      <c r="E68" s="352"/>
      <c r="F68" s="352"/>
      <c r="G68" s="352"/>
      <c r="H68" s="97">
        <f>ROUND(((1/12)*5%),4)</f>
        <v>4.1999999999999997E-3</v>
      </c>
      <c r="I68" s="133">
        <f>ROUND(H68*$I$65,2)</f>
        <v>16.02</v>
      </c>
      <c r="J68" s="134"/>
      <c r="K68" s="372"/>
      <c r="L68" s="372"/>
    </row>
    <row r="69" spans="1:12" ht="15.75" customHeight="1">
      <c r="A69" s="95" t="s">
        <v>322</v>
      </c>
      <c r="B69" s="352" t="s">
        <v>434</v>
      </c>
      <c r="C69" s="352"/>
      <c r="D69" s="352"/>
      <c r="E69" s="352"/>
      <c r="F69" s="352"/>
      <c r="G69" s="352"/>
      <c r="H69" s="97">
        <f>TRUNC(H68*H47,4)</f>
        <v>2.9999999999999997E-4</v>
      </c>
      <c r="I69" s="133">
        <f>ROUND(H69*$I$65,2)</f>
        <v>1.1399999999999999</v>
      </c>
      <c r="J69" s="134"/>
      <c r="K69" s="372"/>
      <c r="L69" s="372"/>
    </row>
    <row r="70" spans="1:12" ht="15.75" customHeight="1">
      <c r="A70" s="95" t="s">
        <v>326</v>
      </c>
      <c r="B70" s="352" t="s">
        <v>435</v>
      </c>
      <c r="C70" s="352"/>
      <c r="D70" s="352"/>
      <c r="E70" s="352"/>
      <c r="F70" s="352"/>
      <c r="G70" s="352"/>
      <c r="H70" s="97">
        <f>ROUND(((7/30)/12)*95%,4)</f>
        <v>1.8499999999999999E-2</v>
      </c>
      <c r="I70" s="133">
        <f>ROUND(H70*$I$65,2)</f>
        <v>70.56</v>
      </c>
      <c r="J70" s="134"/>
      <c r="K70" s="109"/>
      <c r="L70" s="109"/>
    </row>
    <row r="71" spans="1:12" ht="15.75" customHeight="1">
      <c r="A71" s="95" t="s">
        <v>330</v>
      </c>
      <c r="B71" s="363" t="s">
        <v>436</v>
      </c>
      <c r="C71" s="363"/>
      <c r="D71" s="363"/>
      <c r="E71" s="363"/>
      <c r="F71" s="363"/>
      <c r="G71" s="363"/>
      <c r="H71" s="97">
        <f>ROUND(H70*H48,4)</f>
        <v>6.4000000000000003E-3</v>
      </c>
      <c r="I71" s="133">
        <f>ROUND(H71*$I$65,2)</f>
        <v>24.41</v>
      </c>
      <c r="J71" s="134"/>
      <c r="K71" s="109"/>
      <c r="L71" s="109"/>
    </row>
    <row r="72" spans="1:12" ht="15.75" customHeight="1">
      <c r="A72" s="95" t="s">
        <v>372</v>
      </c>
      <c r="B72" s="352" t="s">
        <v>437</v>
      </c>
      <c r="C72" s="352"/>
      <c r="D72" s="352"/>
      <c r="E72" s="352"/>
      <c r="F72" s="352"/>
      <c r="G72" s="352"/>
      <c r="H72" s="97">
        <v>0.04</v>
      </c>
      <c r="I72" s="133">
        <f>ROUND(H72*$I$65,2)</f>
        <v>152.57</v>
      </c>
      <c r="J72" s="130">
        <f>I72</f>
        <v>152.57</v>
      </c>
      <c r="K72" s="109"/>
      <c r="L72" s="109"/>
    </row>
    <row r="73" spans="1:12" ht="15.75" customHeight="1">
      <c r="A73" s="351" t="s">
        <v>438</v>
      </c>
      <c r="B73" s="351"/>
      <c r="C73" s="351"/>
      <c r="D73" s="351"/>
      <c r="E73" s="351"/>
      <c r="F73" s="351"/>
      <c r="G73" s="351"/>
      <c r="H73" s="98">
        <f>SUM(H68:H72)</f>
        <v>6.9400000000000003E-2</v>
      </c>
      <c r="I73" s="129">
        <f>SUM(I68:I72)</f>
        <v>264.7</v>
      </c>
      <c r="J73" s="134"/>
      <c r="K73" s="179"/>
      <c r="L73" s="109"/>
    </row>
    <row r="74" spans="1:12" ht="15.75" customHeight="1">
      <c r="A74" s="371" t="s">
        <v>439</v>
      </c>
      <c r="B74" s="371"/>
      <c r="C74" s="371"/>
      <c r="D74" s="371"/>
      <c r="E74" s="371"/>
      <c r="F74" s="371"/>
      <c r="G74" s="358" t="s">
        <v>386</v>
      </c>
      <c r="H74" s="358"/>
      <c r="I74" s="135">
        <f>I29</f>
        <v>2020.11</v>
      </c>
      <c r="J74" s="134"/>
      <c r="K74" s="179"/>
      <c r="L74" s="109"/>
    </row>
    <row r="75" spans="1:12" ht="15.75" customHeight="1">
      <c r="A75" s="371"/>
      <c r="B75" s="371"/>
      <c r="C75" s="371"/>
      <c r="D75" s="371"/>
      <c r="E75" s="371"/>
      <c r="F75" s="371"/>
      <c r="G75" s="358" t="s">
        <v>430</v>
      </c>
      <c r="H75" s="358"/>
      <c r="I75" s="135">
        <f>I62</f>
        <v>1794.058</v>
      </c>
      <c r="J75" s="134"/>
      <c r="K75" s="179"/>
      <c r="L75" s="109"/>
    </row>
    <row r="76" spans="1:12" ht="15.75" customHeight="1">
      <c r="A76" s="371"/>
      <c r="B76" s="371"/>
      <c r="C76" s="371"/>
      <c r="D76" s="371"/>
      <c r="E76" s="371"/>
      <c r="F76" s="371"/>
      <c r="G76" s="358" t="s">
        <v>440</v>
      </c>
      <c r="H76" s="358"/>
      <c r="I76" s="135">
        <f>I73</f>
        <v>264.7</v>
      </c>
      <c r="J76" s="134"/>
      <c r="K76" s="179"/>
      <c r="L76" s="109"/>
    </row>
    <row r="77" spans="1:12" ht="15.75" customHeight="1">
      <c r="A77" s="371"/>
      <c r="B77" s="371"/>
      <c r="C77" s="371"/>
      <c r="D77" s="371"/>
      <c r="E77" s="371"/>
      <c r="F77" s="371"/>
      <c r="G77" s="359" t="s">
        <v>389</v>
      </c>
      <c r="H77" s="359"/>
      <c r="I77" s="140">
        <f>SUM(I74:I76)</f>
        <v>4078.8679999999995</v>
      </c>
      <c r="J77" s="134"/>
      <c r="K77" s="179"/>
      <c r="L77" s="109"/>
    </row>
    <row r="78" spans="1:12" ht="15.75" customHeight="1">
      <c r="A78" s="351" t="s">
        <v>441</v>
      </c>
      <c r="B78" s="351"/>
      <c r="C78" s="351"/>
      <c r="D78" s="351"/>
      <c r="E78" s="351"/>
      <c r="F78" s="351"/>
      <c r="G78" s="351"/>
      <c r="H78" s="351"/>
      <c r="I78" s="351"/>
      <c r="J78" s="131"/>
      <c r="K78" s="179"/>
      <c r="L78" s="109"/>
    </row>
    <row r="79" spans="1:12" ht="15.75" customHeight="1">
      <c r="A79" s="351" t="s">
        <v>442</v>
      </c>
      <c r="B79" s="351"/>
      <c r="C79" s="351"/>
      <c r="D79" s="351"/>
      <c r="E79" s="351"/>
      <c r="F79" s="351"/>
      <c r="G79" s="351"/>
      <c r="H79" s="96" t="s">
        <v>362</v>
      </c>
      <c r="I79" s="96" t="s">
        <v>363</v>
      </c>
      <c r="J79" s="134"/>
      <c r="K79" s="179"/>
      <c r="L79" s="180"/>
    </row>
    <row r="80" spans="1:12" ht="15.75" customHeight="1">
      <c r="A80" s="95" t="s">
        <v>319</v>
      </c>
      <c r="B80" s="352" t="s">
        <v>443</v>
      </c>
      <c r="C80" s="352"/>
      <c r="D80" s="352"/>
      <c r="E80" s="352"/>
      <c r="F80" s="352"/>
      <c r="G80" s="352"/>
      <c r="H80" s="97">
        <f>ROUND(((1+1/3)/12)/12,4)</f>
        <v>9.2999999999999992E-3</v>
      </c>
      <c r="I80" s="133">
        <f t="shared" ref="I80:I85" si="3">ROUND(H80*$I$77,2)</f>
        <v>37.93</v>
      </c>
      <c r="J80" s="134"/>
      <c r="K80" s="179"/>
      <c r="L80" s="109"/>
    </row>
    <row r="81" spans="1:12" ht="15.75" customHeight="1">
      <c r="A81" s="95" t="s">
        <v>322</v>
      </c>
      <c r="B81" s="352" t="s">
        <v>444</v>
      </c>
      <c r="C81" s="352"/>
      <c r="D81" s="352"/>
      <c r="E81" s="352"/>
      <c r="F81" s="352"/>
      <c r="G81" s="352"/>
      <c r="H81" s="97">
        <f>ROUND(2/30/12,4)</f>
        <v>5.5999999999999999E-3</v>
      </c>
      <c r="I81" s="133">
        <f t="shared" si="3"/>
        <v>22.84</v>
      </c>
      <c r="J81" s="134"/>
      <c r="K81" s="109"/>
      <c r="L81" s="109"/>
    </row>
    <row r="82" spans="1:12" ht="15.75" customHeight="1">
      <c r="A82" s="95" t="s">
        <v>326</v>
      </c>
      <c r="B82" s="352" t="s">
        <v>445</v>
      </c>
      <c r="C82" s="352"/>
      <c r="D82" s="352"/>
      <c r="E82" s="352"/>
      <c r="F82" s="352"/>
      <c r="G82" s="352"/>
      <c r="H82" s="97">
        <f>ROUND(((5/30)/12)*2%,4)</f>
        <v>2.9999999999999997E-4</v>
      </c>
      <c r="I82" s="133">
        <f t="shared" si="3"/>
        <v>1.22</v>
      </c>
      <c r="J82" s="134"/>
      <c r="K82" s="109"/>
      <c r="L82" s="109"/>
    </row>
    <row r="83" spans="1:12" ht="15.75" customHeight="1">
      <c r="A83" s="95" t="s">
        <v>330</v>
      </c>
      <c r="B83" s="352" t="s">
        <v>446</v>
      </c>
      <c r="C83" s="352"/>
      <c r="D83" s="352"/>
      <c r="E83" s="352"/>
      <c r="F83" s="352"/>
      <c r="G83" s="352"/>
      <c r="H83" s="97">
        <f>ROUND(((15/30)/12)*8%,4)</f>
        <v>3.3E-3</v>
      </c>
      <c r="I83" s="133">
        <f t="shared" si="3"/>
        <v>13.46</v>
      </c>
      <c r="J83" s="134"/>
      <c r="K83" s="109"/>
      <c r="L83" s="109"/>
    </row>
    <row r="84" spans="1:12" ht="15.75" customHeight="1">
      <c r="A84" s="95" t="s">
        <v>372</v>
      </c>
      <c r="B84" s="352" t="s">
        <v>447</v>
      </c>
      <c r="C84" s="352"/>
      <c r="D84" s="352"/>
      <c r="E84" s="352"/>
      <c r="F84" s="352"/>
      <c r="G84" s="352"/>
      <c r="H84" s="97">
        <f>ROUND(((1+1/3)/12*4/12)*2%,4)</f>
        <v>6.9999999999999999E-4</v>
      </c>
      <c r="I84" s="133">
        <f t="shared" si="3"/>
        <v>2.86</v>
      </c>
      <c r="J84" s="134"/>
      <c r="K84" s="109"/>
      <c r="L84" s="109"/>
    </row>
    <row r="85" spans="1:12" ht="15.75" customHeight="1">
      <c r="A85" s="95" t="s">
        <v>374</v>
      </c>
      <c r="B85" s="352" t="s">
        <v>448</v>
      </c>
      <c r="C85" s="352"/>
      <c r="D85" s="352"/>
      <c r="E85" s="352"/>
      <c r="F85" s="352"/>
      <c r="G85" s="352"/>
      <c r="H85" s="97">
        <v>0</v>
      </c>
      <c r="I85" s="133">
        <f t="shared" si="3"/>
        <v>0</v>
      </c>
      <c r="J85" s="134"/>
      <c r="K85" s="109"/>
      <c r="L85" s="109"/>
    </row>
    <row r="86" spans="1:12" ht="15.75" customHeight="1">
      <c r="A86" s="351" t="s">
        <v>449</v>
      </c>
      <c r="B86" s="351"/>
      <c r="C86" s="351"/>
      <c r="D86" s="351"/>
      <c r="E86" s="351"/>
      <c r="F86" s="351"/>
      <c r="G86" s="351"/>
      <c r="H86" s="98">
        <f>SUM(H80:H85)</f>
        <v>1.9199999999999998E-2</v>
      </c>
      <c r="I86" s="129">
        <f>SUM(I80:I85)</f>
        <v>78.309999999999988</v>
      </c>
      <c r="J86" s="134"/>
      <c r="K86" s="109"/>
      <c r="L86" s="181"/>
    </row>
    <row r="87" spans="1:12" ht="15.75" customHeight="1">
      <c r="A87" s="362"/>
      <c r="B87" s="362"/>
      <c r="C87" s="362"/>
      <c r="D87" s="362"/>
      <c r="E87" s="362"/>
      <c r="F87" s="362"/>
      <c r="G87" s="362"/>
      <c r="H87" s="362"/>
      <c r="I87" s="362"/>
      <c r="J87" s="134"/>
      <c r="K87" s="182"/>
      <c r="L87" s="109"/>
    </row>
    <row r="88" spans="1:12" ht="15.75" customHeight="1">
      <c r="A88" s="351" t="s">
        <v>450</v>
      </c>
      <c r="B88" s="351"/>
      <c r="C88" s="351"/>
      <c r="D88" s="351"/>
      <c r="E88" s="351"/>
      <c r="F88" s="351"/>
      <c r="G88" s="351"/>
      <c r="H88" s="96" t="s">
        <v>362</v>
      </c>
      <c r="I88" s="96" t="s">
        <v>363</v>
      </c>
      <c r="J88" s="134"/>
      <c r="K88" s="109"/>
      <c r="L88" s="109"/>
    </row>
    <row r="89" spans="1:12" ht="15.75" customHeight="1">
      <c r="A89" s="95" t="s">
        <v>319</v>
      </c>
      <c r="B89" s="352" t="s">
        <v>451</v>
      </c>
      <c r="C89" s="352"/>
      <c r="D89" s="352"/>
      <c r="E89" s="352"/>
      <c r="F89" s="352"/>
      <c r="G89" s="352"/>
      <c r="H89" s="97">
        <v>0</v>
      </c>
      <c r="I89" s="133">
        <f>I29*H89</f>
        <v>0</v>
      </c>
      <c r="J89" s="134"/>
      <c r="K89" s="109"/>
      <c r="L89" s="109"/>
    </row>
    <row r="90" spans="1:12" ht="15.75" customHeight="1">
      <c r="A90" s="351" t="s">
        <v>452</v>
      </c>
      <c r="B90" s="351"/>
      <c r="C90" s="351"/>
      <c r="D90" s="351"/>
      <c r="E90" s="351"/>
      <c r="F90" s="351"/>
      <c r="G90" s="351"/>
      <c r="H90" s="98">
        <f>H89</f>
        <v>0</v>
      </c>
      <c r="I90" s="129">
        <f>I89</f>
        <v>0</v>
      </c>
      <c r="J90" s="134"/>
      <c r="K90" s="183"/>
      <c r="L90" s="109"/>
    </row>
    <row r="91" spans="1:12" ht="15.75" customHeight="1">
      <c r="A91" s="362"/>
      <c r="B91" s="362"/>
      <c r="C91" s="362"/>
      <c r="D91" s="362"/>
      <c r="E91" s="362"/>
      <c r="F91" s="362"/>
      <c r="G91" s="362"/>
      <c r="H91" s="362"/>
      <c r="I91" s="362"/>
      <c r="J91" s="134"/>
      <c r="K91" s="109"/>
      <c r="L91" s="109"/>
    </row>
    <row r="92" spans="1:12" ht="15.75" customHeight="1">
      <c r="A92" s="351" t="s">
        <v>453</v>
      </c>
      <c r="B92" s="351"/>
      <c r="C92" s="351"/>
      <c r="D92" s="351"/>
      <c r="E92" s="351"/>
      <c r="F92" s="351"/>
      <c r="G92" s="351"/>
      <c r="H92" s="351"/>
      <c r="I92" s="351"/>
      <c r="J92" s="134"/>
      <c r="K92" s="109"/>
      <c r="L92" s="109"/>
    </row>
    <row r="93" spans="1:12" ht="15.75" customHeight="1">
      <c r="A93" s="351" t="s">
        <v>454</v>
      </c>
      <c r="B93" s="351"/>
      <c r="C93" s="351"/>
      <c r="D93" s="351"/>
      <c r="E93" s="351"/>
      <c r="F93" s="351"/>
      <c r="G93" s="351"/>
      <c r="H93" s="351"/>
      <c r="I93" s="96" t="s">
        <v>363</v>
      </c>
      <c r="J93" s="134"/>
      <c r="K93" s="109"/>
      <c r="L93" s="109"/>
    </row>
    <row r="94" spans="1:12" ht="15.75" customHeight="1">
      <c r="A94" s="95" t="s">
        <v>455</v>
      </c>
      <c r="B94" s="352" t="s">
        <v>456</v>
      </c>
      <c r="C94" s="352"/>
      <c r="D94" s="352"/>
      <c r="E94" s="352"/>
      <c r="F94" s="352"/>
      <c r="G94" s="352"/>
      <c r="H94" s="352"/>
      <c r="I94" s="133">
        <f>I86</f>
        <v>78.309999999999988</v>
      </c>
      <c r="J94" s="134"/>
      <c r="K94" s="109"/>
      <c r="L94" s="109"/>
    </row>
    <row r="95" spans="1:12" ht="15.75" customHeight="1">
      <c r="A95" s="95" t="s">
        <v>457</v>
      </c>
      <c r="B95" s="352" t="s">
        <v>458</v>
      </c>
      <c r="C95" s="352"/>
      <c r="D95" s="352"/>
      <c r="E95" s="352"/>
      <c r="F95" s="352"/>
      <c r="G95" s="352"/>
      <c r="H95" s="352"/>
      <c r="I95" s="133">
        <f>I90</f>
        <v>0</v>
      </c>
      <c r="J95" s="134"/>
      <c r="K95" s="109"/>
      <c r="L95" s="109"/>
    </row>
    <row r="96" spans="1:12" ht="15.75" customHeight="1">
      <c r="A96" s="351" t="s">
        <v>459</v>
      </c>
      <c r="B96" s="351"/>
      <c r="C96" s="351"/>
      <c r="D96" s="351"/>
      <c r="E96" s="351"/>
      <c r="F96" s="351"/>
      <c r="G96" s="351"/>
      <c r="H96" s="351"/>
      <c r="I96" s="129">
        <f>SUM(I94:I95)</f>
        <v>78.309999999999988</v>
      </c>
      <c r="J96" s="134"/>
      <c r="K96" s="109"/>
      <c r="L96" s="109"/>
    </row>
    <row r="97" spans="1:12" ht="15.75" customHeight="1">
      <c r="A97" s="362"/>
      <c r="B97" s="362"/>
      <c r="C97" s="362"/>
      <c r="D97" s="362"/>
      <c r="E97" s="362"/>
      <c r="F97" s="362"/>
      <c r="G97" s="362"/>
      <c r="H97" s="362"/>
      <c r="I97" s="362"/>
      <c r="J97" s="134"/>
      <c r="K97" s="109"/>
      <c r="L97" s="109"/>
    </row>
    <row r="98" spans="1:12" ht="15.75" customHeight="1">
      <c r="A98" s="351" t="s">
        <v>460</v>
      </c>
      <c r="B98" s="351"/>
      <c r="C98" s="351"/>
      <c r="D98" s="351"/>
      <c r="E98" s="351"/>
      <c r="F98" s="351"/>
      <c r="G98" s="351"/>
      <c r="H98" s="351"/>
      <c r="I98" s="351"/>
      <c r="J98" s="134"/>
      <c r="K98" s="109"/>
      <c r="L98" s="109"/>
    </row>
    <row r="99" spans="1:12" ht="15.75" customHeight="1">
      <c r="A99" s="96">
        <v>5</v>
      </c>
      <c r="B99" s="351" t="s">
        <v>461</v>
      </c>
      <c r="C99" s="351"/>
      <c r="D99" s="351"/>
      <c r="E99" s="351"/>
      <c r="F99" s="351"/>
      <c r="G99" s="351"/>
      <c r="H99" s="96"/>
      <c r="I99" s="96" t="s">
        <v>363</v>
      </c>
      <c r="J99" s="134"/>
      <c r="K99" s="109"/>
      <c r="L99" s="109"/>
    </row>
    <row r="100" spans="1:12" ht="15.75" customHeight="1">
      <c r="A100" s="163" t="s">
        <v>319</v>
      </c>
      <c r="B100" s="357" t="s">
        <v>462</v>
      </c>
      <c r="C100" s="357"/>
      <c r="D100" s="357"/>
      <c r="E100" s="357"/>
      <c r="F100" s="357"/>
      <c r="G100" s="357"/>
      <c r="H100" s="164" t="s">
        <v>303</v>
      </c>
      <c r="I100" s="133">
        <v>0</v>
      </c>
      <c r="J100" s="134"/>
      <c r="K100" s="109"/>
      <c r="L100" s="109"/>
    </row>
    <row r="101" spans="1:12" ht="15.75" customHeight="1">
      <c r="A101" s="163" t="s">
        <v>322</v>
      </c>
      <c r="B101" s="357" t="s">
        <v>463</v>
      </c>
      <c r="C101" s="357"/>
      <c r="D101" s="357"/>
      <c r="E101" s="357"/>
      <c r="F101" s="357"/>
      <c r="G101" s="357"/>
      <c r="H101" s="164" t="s">
        <v>303</v>
      </c>
      <c r="I101" s="133">
        <v>0</v>
      </c>
      <c r="J101" s="134"/>
      <c r="K101" s="109"/>
      <c r="L101" s="109"/>
    </row>
    <row r="102" spans="1:12" ht="15.75" customHeight="1">
      <c r="A102" s="163" t="s">
        <v>326</v>
      </c>
      <c r="B102" s="357" t="s">
        <v>464</v>
      </c>
      <c r="C102" s="357"/>
      <c r="D102" s="357"/>
      <c r="E102" s="357"/>
      <c r="F102" s="357"/>
      <c r="G102" s="357"/>
      <c r="H102" s="164" t="s">
        <v>303</v>
      </c>
      <c r="I102" s="403">
        <v>32.08</v>
      </c>
      <c r="J102" s="134"/>
      <c r="K102" s="109"/>
      <c r="L102" s="109"/>
    </row>
    <row r="103" spans="1:12" ht="15.75" customHeight="1">
      <c r="A103" s="163" t="s">
        <v>330</v>
      </c>
      <c r="B103" s="357" t="s">
        <v>465</v>
      </c>
      <c r="C103" s="357"/>
      <c r="D103" s="357"/>
      <c r="E103" s="357"/>
      <c r="F103" s="357"/>
      <c r="G103" s="357"/>
      <c r="H103" s="165" t="s">
        <v>303</v>
      </c>
      <c r="I103" s="403">
        <v>0.81</v>
      </c>
      <c r="J103" s="134"/>
      <c r="K103" s="109"/>
      <c r="L103" s="109"/>
    </row>
    <row r="104" spans="1:12" ht="15.75" customHeight="1">
      <c r="A104" s="351" t="s">
        <v>466</v>
      </c>
      <c r="B104" s="351"/>
      <c r="C104" s="351"/>
      <c r="D104" s="351"/>
      <c r="E104" s="351"/>
      <c r="F104" s="351"/>
      <c r="G104" s="351"/>
      <c r="H104" s="98" t="s">
        <v>303</v>
      </c>
      <c r="I104" s="129">
        <f>SUM(I100:I103)</f>
        <v>32.89</v>
      </c>
      <c r="J104" s="134"/>
      <c r="K104" s="109"/>
      <c r="L104" s="109"/>
    </row>
    <row r="105" spans="1:12" ht="15.75" customHeight="1">
      <c r="A105" s="371" t="s">
        <v>467</v>
      </c>
      <c r="B105" s="371"/>
      <c r="C105" s="371"/>
      <c r="D105" s="371"/>
      <c r="E105" s="371"/>
      <c r="F105" s="371"/>
      <c r="G105" s="358" t="s">
        <v>386</v>
      </c>
      <c r="H105" s="358"/>
      <c r="I105" s="135">
        <f>I29</f>
        <v>2020.11</v>
      </c>
      <c r="J105" s="134"/>
      <c r="K105" s="109"/>
      <c r="L105" s="109"/>
    </row>
    <row r="106" spans="1:12" ht="15.75" customHeight="1">
      <c r="A106" s="371"/>
      <c r="B106" s="371"/>
      <c r="C106" s="371"/>
      <c r="D106" s="371"/>
      <c r="E106" s="371"/>
      <c r="F106" s="371"/>
      <c r="G106" s="358" t="s">
        <v>430</v>
      </c>
      <c r="H106" s="358"/>
      <c r="I106" s="135">
        <f>I62</f>
        <v>1794.058</v>
      </c>
      <c r="J106" s="134"/>
      <c r="K106" s="109"/>
      <c r="L106" s="109"/>
    </row>
    <row r="107" spans="1:12" ht="15.75" customHeight="1">
      <c r="A107" s="371"/>
      <c r="B107" s="371"/>
      <c r="C107" s="371"/>
      <c r="D107" s="371"/>
      <c r="E107" s="371"/>
      <c r="F107" s="371"/>
      <c r="G107" s="358" t="s">
        <v>440</v>
      </c>
      <c r="H107" s="358"/>
      <c r="I107" s="135">
        <f>I73</f>
        <v>264.7</v>
      </c>
      <c r="J107" s="134"/>
      <c r="K107" s="109"/>
      <c r="L107" s="109"/>
    </row>
    <row r="108" spans="1:12" ht="15.75" customHeight="1">
      <c r="A108" s="371"/>
      <c r="B108" s="371"/>
      <c r="C108" s="371"/>
      <c r="D108" s="371"/>
      <c r="E108" s="371"/>
      <c r="F108" s="371"/>
      <c r="G108" s="358" t="s">
        <v>468</v>
      </c>
      <c r="H108" s="358"/>
      <c r="I108" s="135">
        <f>I96</f>
        <v>78.309999999999988</v>
      </c>
      <c r="J108" s="134"/>
      <c r="K108" s="141"/>
      <c r="L108" s="141"/>
    </row>
    <row r="109" spans="1:12" ht="15.75" customHeight="1">
      <c r="A109" s="371"/>
      <c r="B109" s="371"/>
      <c r="C109" s="371"/>
      <c r="D109" s="371"/>
      <c r="E109" s="371"/>
      <c r="F109" s="371"/>
      <c r="G109" s="358" t="s">
        <v>469</v>
      </c>
      <c r="H109" s="358"/>
      <c r="I109" s="135">
        <f>I104</f>
        <v>32.89</v>
      </c>
      <c r="J109" s="134"/>
      <c r="K109" s="141"/>
      <c r="L109" s="141"/>
    </row>
    <row r="110" spans="1:12" ht="15.75" customHeight="1">
      <c r="A110" s="371"/>
      <c r="B110" s="371"/>
      <c r="C110" s="371"/>
      <c r="D110" s="371"/>
      <c r="E110" s="371"/>
      <c r="F110" s="371"/>
      <c r="G110" s="359" t="s">
        <v>389</v>
      </c>
      <c r="H110" s="359"/>
      <c r="I110" s="140">
        <f>SUM(I105:I109)</f>
        <v>4190.0680000000002</v>
      </c>
      <c r="J110" s="134"/>
      <c r="K110" s="109"/>
      <c r="L110" s="109"/>
    </row>
    <row r="111" spans="1:12" ht="15.75" customHeight="1">
      <c r="A111" s="351" t="s">
        <v>470</v>
      </c>
      <c r="B111" s="351"/>
      <c r="C111" s="351"/>
      <c r="D111" s="351"/>
      <c r="E111" s="351"/>
      <c r="F111" s="351"/>
      <c r="G111" s="351"/>
      <c r="H111" s="351"/>
      <c r="I111" s="351"/>
      <c r="J111" s="134"/>
      <c r="K111" s="109"/>
      <c r="L111" s="109"/>
    </row>
    <row r="112" spans="1:12" ht="15.75" customHeight="1">
      <c r="A112" s="96">
        <v>6</v>
      </c>
      <c r="B112" s="351" t="s">
        <v>471</v>
      </c>
      <c r="C112" s="351"/>
      <c r="D112" s="351"/>
      <c r="E112" s="351"/>
      <c r="F112" s="351"/>
      <c r="G112" s="351"/>
      <c r="H112" s="96" t="s">
        <v>362</v>
      </c>
      <c r="I112" s="96" t="s">
        <v>363</v>
      </c>
      <c r="J112" s="134"/>
      <c r="K112" s="109"/>
      <c r="L112" s="109"/>
    </row>
    <row r="113" spans="1:12" ht="15.75" customHeight="1">
      <c r="A113" s="95" t="s">
        <v>319</v>
      </c>
      <c r="B113" s="352" t="s">
        <v>472</v>
      </c>
      <c r="C113" s="352"/>
      <c r="D113" s="352"/>
      <c r="E113" s="352"/>
      <c r="F113" s="352"/>
      <c r="G113" s="352"/>
      <c r="H113" s="404">
        <v>1.7000000000000001E-2</v>
      </c>
      <c r="I113" s="133">
        <f>ROUND(H113*I110,2)</f>
        <v>71.23</v>
      </c>
      <c r="J113" s="134"/>
      <c r="K113" s="109"/>
      <c r="L113" s="109"/>
    </row>
    <row r="114" spans="1:12" ht="15.75" customHeight="1">
      <c r="A114" s="95" t="s">
        <v>322</v>
      </c>
      <c r="B114" s="352" t="s">
        <v>473</v>
      </c>
      <c r="C114" s="352"/>
      <c r="D114" s="352"/>
      <c r="E114" s="352"/>
      <c r="F114" s="352"/>
      <c r="G114" s="352"/>
      <c r="H114" s="404">
        <v>1.72E-2</v>
      </c>
      <c r="I114" s="133">
        <f>ROUND(H114*(I110+I113),2)</f>
        <v>73.290000000000006</v>
      </c>
      <c r="J114" s="134"/>
      <c r="K114" s="109"/>
      <c r="L114" s="109"/>
    </row>
    <row r="115" spans="1:12" ht="15.75" customHeight="1">
      <c r="A115" s="95" t="s">
        <v>326</v>
      </c>
      <c r="B115" s="364" t="s">
        <v>474</v>
      </c>
      <c r="C115" s="364"/>
      <c r="D115" s="364"/>
      <c r="E115" s="364"/>
      <c r="F115" s="364"/>
      <c r="G115" s="364"/>
      <c r="H115" s="97"/>
      <c r="I115" s="184"/>
      <c r="J115" s="134"/>
      <c r="K115" s="109"/>
      <c r="L115" s="109"/>
    </row>
    <row r="116" spans="1:12" ht="15.75" customHeight="1">
      <c r="A116" s="95" t="s">
        <v>475</v>
      </c>
      <c r="B116" s="352" t="s">
        <v>476</v>
      </c>
      <c r="C116" s="352"/>
      <c r="D116" s="352"/>
      <c r="E116" s="352"/>
      <c r="F116" s="352"/>
      <c r="G116" s="352"/>
      <c r="H116" s="404">
        <v>5.7999999999999996E-3</v>
      </c>
      <c r="I116" s="133">
        <f>ROUND($I$126*H116,2)</f>
        <v>27.4</v>
      </c>
      <c r="J116" s="134"/>
      <c r="K116" s="109"/>
      <c r="L116" s="109"/>
    </row>
    <row r="117" spans="1:12" ht="15.75" customHeight="1">
      <c r="A117" s="95" t="s">
        <v>477</v>
      </c>
      <c r="B117" s="352" t="s">
        <v>376</v>
      </c>
      <c r="C117" s="352"/>
      <c r="D117" s="352"/>
      <c r="E117" s="352"/>
      <c r="F117" s="352"/>
      <c r="G117" s="352"/>
      <c r="H117" s="404">
        <v>2.6599999999999999E-2</v>
      </c>
      <c r="I117" s="133">
        <f>ROUND($I$126*H117,2)</f>
        <v>125.65</v>
      </c>
      <c r="J117" s="134"/>
      <c r="K117" s="109"/>
      <c r="L117" s="109"/>
    </row>
    <row r="118" spans="1:12" ht="15.75" customHeight="1">
      <c r="A118" s="95" t="s">
        <v>478</v>
      </c>
      <c r="B118" s="352" t="s">
        <v>479</v>
      </c>
      <c r="C118" s="352"/>
      <c r="D118" s="352"/>
      <c r="E118" s="352"/>
      <c r="F118" s="352"/>
      <c r="G118" s="352"/>
      <c r="H118" s="167">
        <v>0.05</v>
      </c>
      <c r="I118" s="133">
        <f>ROUND($I$126*H118,2)</f>
        <v>236.19</v>
      </c>
      <c r="J118" s="134"/>
      <c r="K118" s="109"/>
      <c r="L118" s="109"/>
    </row>
    <row r="119" spans="1:12" ht="15.75" customHeight="1">
      <c r="A119" s="351" t="s">
        <v>480</v>
      </c>
      <c r="B119" s="351"/>
      <c r="C119" s="351"/>
      <c r="D119" s="351"/>
      <c r="E119" s="351"/>
      <c r="F119" s="351"/>
      <c r="G119" s="351"/>
      <c r="H119" s="168">
        <f>SUM(H113:H118)</f>
        <v>0.1166</v>
      </c>
      <c r="I119" s="129">
        <f>SUM(I113:I118)</f>
        <v>533.76</v>
      </c>
      <c r="J119" s="134"/>
      <c r="K119" s="109"/>
      <c r="L119" s="109"/>
    </row>
    <row r="120" spans="1:12" ht="15.75" customHeight="1">
      <c r="A120" s="353"/>
      <c r="B120" s="353"/>
      <c r="C120" s="353"/>
      <c r="D120" s="353"/>
      <c r="E120" s="353"/>
      <c r="F120" s="353"/>
      <c r="G120" s="353"/>
      <c r="H120" s="353"/>
      <c r="I120" s="353"/>
      <c r="J120" s="134"/>
      <c r="K120" s="109"/>
      <c r="L120" s="109"/>
    </row>
    <row r="121" spans="1:12" ht="15.75" customHeight="1">
      <c r="A121" s="172" t="s">
        <v>481</v>
      </c>
      <c r="B121" s="365" t="s">
        <v>482</v>
      </c>
      <c r="C121" s="365"/>
      <c r="D121" s="365"/>
      <c r="E121" s="365"/>
      <c r="F121" s="365"/>
      <c r="G121" s="365"/>
      <c r="H121" s="174">
        <f>SUM(H116+H117+H118)</f>
        <v>8.2400000000000001E-2</v>
      </c>
      <c r="I121" s="186"/>
      <c r="J121" s="134"/>
      <c r="K121" s="109"/>
      <c r="L121" s="109"/>
    </row>
    <row r="122" spans="1:12" ht="15.75" customHeight="1">
      <c r="A122" s="172"/>
      <c r="B122" s="365">
        <v>100</v>
      </c>
      <c r="C122" s="365"/>
      <c r="D122" s="365"/>
      <c r="E122" s="365"/>
      <c r="F122" s="365"/>
      <c r="G122" s="365"/>
      <c r="H122" s="174"/>
      <c r="I122" s="186"/>
      <c r="J122" s="134"/>
      <c r="K122" s="109"/>
      <c r="L122" s="109"/>
    </row>
    <row r="123" spans="1:12" ht="15.75" customHeight="1">
      <c r="A123" s="175"/>
      <c r="B123" s="176"/>
      <c r="C123" s="176"/>
      <c r="D123" s="176"/>
      <c r="E123" s="176"/>
      <c r="F123" s="176"/>
      <c r="G123" s="176"/>
      <c r="H123" s="176"/>
      <c r="I123" s="187"/>
      <c r="J123" s="134"/>
      <c r="K123" s="141"/>
      <c r="L123" s="141"/>
    </row>
    <row r="124" spans="1:12" ht="15.75" customHeight="1">
      <c r="A124" s="172" t="s">
        <v>483</v>
      </c>
      <c r="B124" s="365" t="s">
        <v>484</v>
      </c>
      <c r="C124" s="365"/>
      <c r="D124" s="365"/>
      <c r="E124" s="365"/>
      <c r="F124" s="365"/>
      <c r="G124" s="365"/>
      <c r="H124" s="174"/>
      <c r="I124" s="186">
        <f>I110+I113+I114</f>
        <v>4334.5879999999997</v>
      </c>
      <c r="J124" s="134"/>
      <c r="K124" s="109"/>
      <c r="L124" s="109"/>
    </row>
    <row r="125" spans="1:12" ht="15.75" customHeight="1">
      <c r="A125" s="177"/>
      <c r="B125" s="178"/>
      <c r="C125" s="178"/>
      <c r="D125" s="178"/>
      <c r="E125" s="178"/>
      <c r="F125" s="178"/>
      <c r="G125" s="178"/>
      <c r="H125" s="178"/>
      <c r="I125" s="188"/>
      <c r="J125" s="134"/>
      <c r="K125" s="109"/>
      <c r="L125" s="109"/>
    </row>
    <row r="126" spans="1:12" ht="15.75" customHeight="1">
      <c r="A126" s="172" t="s">
        <v>485</v>
      </c>
      <c r="B126" s="365" t="s">
        <v>486</v>
      </c>
      <c r="C126" s="365"/>
      <c r="D126" s="365"/>
      <c r="E126" s="365"/>
      <c r="F126" s="365"/>
      <c r="G126" s="365"/>
      <c r="H126" s="174"/>
      <c r="I126" s="186">
        <f>ROUND(I124/(1-H121),2)</f>
        <v>4723.83</v>
      </c>
      <c r="J126" s="134"/>
      <c r="K126" s="109"/>
      <c r="L126" s="109"/>
    </row>
    <row r="127" spans="1:12" ht="15.75" customHeight="1">
      <c r="A127" s="172"/>
      <c r="B127" s="173"/>
      <c r="C127" s="173"/>
      <c r="D127" s="173"/>
      <c r="E127" s="173"/>
      <c r="F127" s="173"/>
      <c r="G127" s="173"/>
      <c r="H127" s="174"/>
      <c r="I127" s="186"/>
      <c r="J127" s="134"/>
      <c r="K127" s="109"/>
      <c r="L127" s="109"/>
    </row>
    <row r="128" spans="1:12" ht="15.75" customHeight="1">
      <c r="A128" s="172"/>
      <c r="B128" s="365" t="s">
        <v>487</v>
      </c>
      <c r="C128" s="365"/>
      <c r="D128" s="365"/>
      <c r="E128" s="365"/>
      <c r="F128" s="365"/>
      <c r="G128" s="365"/>
      <c r="H128" s="174"/>
      <c r="I128" s="186">
        <f>I126-I124</f>
        <v>389.24200000000019</v>
      </c>
      <c r="J128" s="134"/>
      <c r="K128" s="109"/>
      <c r="L128" s="109"/>
    </row>
    <row r="129" spans="1:12" ht="15.75" customHeight="1">
      <c r="A129" s="351" t="s">
        <v>488</v>
      </c>
      <c r="B129" s="351"/>
      <c r="C129" s="351"/>
      <c r="D129" s="351"/>
      <c r="E129" s="351"/>
      <c r="F129" s="351"/>
      <c r="G129" s="351"/>
      <c r="H129" s="351"/>
      <c r="I129" s="351"/>
      <c r="J129" s="134"/>
      <c r="K129" s="109"/>
      <c r="L129" s="109"/>
    </row>
    <row r="130" spans="1:12" ht="15.75" customHeight="1">
      <c r="A130" s="351" t="s">
        <v>489</v>
      </c>
      <c r="B130" s="351"/>
      <c r="C130" s="351"/>
      <c r="D130" s="351"/>
      <c r="E130" s="351"/>
      <c r="F130" s="351"/>
      <c r="G130" s="351"/>
      <c r="H130" s="351"/>
      <c r="I130" s="96" t="s">
        <v>363</v>
      </c>
      <c r="J130" s="134"/>
      <c r="K130" s="141"/>
      <c r="L130" s="141"/>
    </row>
    <row r="131" spans="1:12" ht="15.75" customHeight="1">
      <c r="A131" s="63" t="s">
        <v>319</v>
      </c>
      <c r="B131" s="352" t="str">
        <f>A21</f>
        <v>MÓDULO 1 - COMPOSIÇÃO DA REMUNERAÇÃO</v>
      </c>
      <c r="C131" s="352"/>
      <c r="D131" s="352"/>
      <c r="E131" s="352"/>
      <c r="F131" s="352"/>
      <c r="G131" s="352"/>
      <c r="H131" s="352"/>
      <c r="I131" s="133">
        <f>I29</f>
        <v>2020.11</v>
      </c>
      <c r="J131" s="134"/>
      <c r="K131" s="141"/>
      <c r="L131" s="141"/>
    </row>
    <row r="132" spans="1:12" ht="15.75" customHeight="1">
      <c r="A132" s="63" t="s">
        <v>322</v>
      </c>
      <c r="B132" s="352" t="str">
        <f>A31</f>
        <v>MÓDULO 2 – ENCARGOS E BENEFÍCIOS ANUAIS, MENSAIS E DIÁRIOS</v>
      </c>
      <c r="C132" s="352"/>
      <c r="D132" s="352"/>
      <c r="E132" s="352"/>
      <c r="F132" s="352"/>
      <c r="G132" s="352"/>
      <c r="H132" s="352"/>
      <c r="I132" s="133">
        <f>I62</f>
        <v>1794.058</v>
      </c>
      <c r="J132" s="134"/>
      <c r="K132" s="141"/>
      <c r="L132" s="141"/>
    </row>
    <row r="133" spans="1:12" ht="15.75" customHeight="1">
      <c r="A133" s="63" t="s">
        <v>326</v>
      </c>
      <c r="B133" s="352" t="str">
        <f>A66</f>
        <v>MÓDULO 3 – PROVISÃO PARA RESCISÃO</v>
      </c>
      <c r="C133" s="352"/>
      <c r="D133" s="352"/>
      <c r="E133" s="352"/>
      <c r="F133" s="352"/>
      <c r="G133" s="352"/>
      <c r="H133" s="352"/>
      <c r="I133" s="133">
        <f>I73</f>
        <v>264.7</v>
      </c>
      <c r="J133" s="134"/>
      <c r="K133" s="100"/>
      <c r="L133" s="100"/>
    </row>
    <row r="134" spans="1:12" ht="15.75" customHeight="1">
      <c r="A134" s="63" t="s">
        <v>330</v>
      </c>
      <c r="B134" s="352" t="str">
        <f>A78</f>
        <v>MÓDULO 4 – CUSTO DE REPOSIÇÃO DO PROFISSIONAL AUSENTE</v>
      </c>
      <c r="C134" s="352"/>
      <c r="D134" s="352"/>
      <c r="E134" s="352"/>
      <c r="F134" s="352"/>
      <c r="G134" s="352"/>
      <c r="H134" s="352"/>
      <c r="I134" s="133">
        <f>I96</f>
        <v>78.309999999999988</v>
      </c>
      <c r="J134" s="190"/>
      <c r="K134" s="100"/>
      <c r="L134" s="100"/>
    </row>
    <row r="135" spans="1:12" ht="15.75" customHeight="1">
      <c r="A135" s="63" t="s">
        <v>372</v>
      </c>
      <c r="B135" s="352" t="str">
        <f>A98</f>
        <v>MÓDULO 5 – INSUMOS DIVERSOS</v>
      </c>
      <c r="C135" s="352"/>
      <c r="D135" s="352"/>
      <c r="E135" s="352"/>
      <c r="F135" s="352"/>
      <c r="G135" s="352"/>
      <c r="H135" s="352"/>
      <c r="I135" s="133">
        <f>I104</f>
        <v>32.89</v>
      </c>
      <c r="J135" s="134"/>
      <c r="K135" s="100"/>
      <c r="L135" s="100"/>
    </row>
    <row r="136" spans="1:12" ht="15.75" customHeight="1">
      <c r="A136" s="351" t="s">
        <v>490</v>
      </c>
      <c r="B136" s="351"/>
      <c r="C136" s="351"/>
      <c r="D136" s="351"/>
      <c r="E136" s="351"/>
      <c r="F136" s="351"/>
      <c r="G136" s="351"/>
      <c r="H136" s="351"/>
      <c r="I136" s="129">
        <f>SUM(I131:I135)</f>
        <v>4190.0680000000002</v>
      </c>
      <c r="J136" s="134"/>
    </row>
    <row r="137" spans="1:12" ht="15.75" customHeight="1">
      <c r="A137" s="63" t="s">
        <v>374</v>
      </c>
      <c r="B137" s="352" t="str">
        <f>A111</f>
        <v>MÓDULO 6 – CUSTOS INDIRETOS, TRIBUTOS E LUCRO</v>
      </c>
      <c r="C137" s="352"/>
      <c r="D137" s="352"/>
      <c r="E137" s="352"/>
      <c r="F137" s="352"/>
      <c r="G137" s="352"/>
      <c r="H137" s="352"/>
      <c r="I137" s="133">
        <f>I119</f>
        <v>533.76</v>
      </c>
      <c r="J137" s="191">
        <f>SUM(J28:J136)</f>
        <v>3542.5062600000006</v>
      </c>
    </row>
    <row r="138" spans="1:12" ht="15.75" customHeight="1">
      <c r="A138" s="351" t="s">
        <v>491</v>
      </c>
      <c r="B138" s="351"/>
      <c r="C138" s="351"/>
      <c r="D138" s="351"/>
      <c r="E138" s="351"/>
      <c r="F138" s="351"/>
      <c r="G138" s="351"/>
      <c r="H138" s="351"/>
      <c r="I138" s="129">
        <f>SUM(I136:I137)</f>
        <v>4723.8280000000004</v>
      </c>
    </row>
    <row r="139" spans="1:12" ht="15.75" customHeight="1"/>
    <row r="140" spans="1:12" ht="15.75" customHeight="1"/>
    <row r="141" spans="1:12" ht="15.75" customHeight="1"/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0">
    <mergeCell ref="B133:H133"/>
    <mergeCell ref="B134:H134"/>
    <mergeCell ref="B135:H135"/>
    <mergeCell ref="A136:H136"/>
    <mergeCell ref="B137:H137"/>
    <mergeCell ref="A138:H138"/>
    <mergeCell ref="J1:J28"/>
    <mergeCell ref="K50:K52"/>
    <mergeCell ref="L50:L52"/>
    <mergeCell ref="A36:F38"/>
    <mergeCell ref="A63:F65"/>
    <mergeCell ref="A74:F77"/>
    <mergeCell ref="A105:F110"/>
    <mergeCell ref="K60:L69"/>
    <mergeCell ref="B121:G121"/>
    <mergeCell ref="B122:G122"/>
    <mergeCell ref="B124:G124"/>
    <mergeCell ref="B126:G126"/>
    <mergeCell ref="B128:G128"/>
    <mergeCell ref="A129:I129"/>
    <mergeCell ref="A130:H130"/>
    <mergeCell ref="B131:H131"/>
    <mergeCell ref="B132:H132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3" firstPageNumber="0" orientation="portrait" useFirstPageNumber="1" horizontalDpi="300" verticalDpi="300"/>
  <rowBreaks count="1" manualBreakCount="1">
    <brk id="138" max="16383" man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99"/>
  <sheetViews>
    <sheetView topLeftCell="A24" zoomScale="70" zoomScaleNormal="70" zoomScaleSheetLayoutView="90" workbookViewId="0">
      <selection activeCell="B44" sqref="B44:G44"/>
    </sheetView>
  </sheetViews>
  <sheetFormatPr defaultColWidth="9" defaultRowHeight="15"/>
  <cols>
    <col min="1" max="1" width="7.42578125" customWidth="1"/>
    <col min="2" max="2" width="8.85546875" customWidth="1"/>
    <col min="3" max="3" width="8.7109375" customWidth="1"/>
    <col min="4" max="4" width="10.28515625" customWidth="1"/>
    <col min="5" max="5" width="8.7109375" customWidth="1"/>
    <col min="6" max="6" width="17.140625" customWidth="1"/>
    <col min="7" max="7" width="24.42578125" customWidth="1"/>
    <col min="8" max="8" width="16.140625" customWidth="1"/>
    <col min="9" max="9" width="30.7109375" customWidth="1"/>
    <col min="10" max="10" width="36" customWidth="1"/>
    <col min="11" max="11" width="34.140625" customWidth="1"/>
    <col min="12" max="12" width="34" customWidth="1"/>
    <col min="13" max="1025" width="14.42578125" customWidth="1"/>
  </cols>
  <sheetData>
    <row r="1" spans="1:12" ht="15.75">
      <c r="A1" s="348" t="s">
        <v>492</v>
      </c>
      <c r="B1" s="348"/>
      <c r="C1" s="348"/>
      <c r="D1" s="348"/>
      <c r="E1" s="348"/>
      <c r="F1" s="348"/>
      <c r="G1" s="348"/>
      <c r="H1" s="348"/>
      <c r="I1" s="348"/>
      <c r="J1" s="366" t="s">
        <v>315</v>
      </c>
      <c r="K1" s="100"/>
      <c r="L1" s="100"/>
    </row>
    <row r="2" spans="1:12" ht="15.75">
      <c r="A2" s="349"/>
      <c r="B2" s="349"/>
      <c r="C2" s="349"/>
      <c r="D2" s="349"/>
      <c r="E2" s="349"/>
      <c r="F2" s="349"/>
      <c r="G2" s="349"/>
      <c r="H2" s="349"/>
      <c r="I2" s="349"/>
      <c r="J2" s="366"/>
      <c r="K2" s="100"/>
      <c r="L2" s="100"/>
    </row>
    <row r="3" spans="1:12" ht="15.75">
      <c r="A3" s="348" t="s">
        <v>316</v>
      </c>
      <c r="B3" s="348"/>
      <c r="C3" s="348"/>
      <c r="D3" s="348"/>
      <c r="E3" s="348"/>
      <c r="F3" s="348"/>
      <c r="G3" s="348"/>
      <c r="H3" s="350" t="s">
        <v>317</v>
      </c>
      <c r="I3" s="350"/>
      <c r="J3" s="366"/>
      <c r="K3" s="100"/>
      <c r="L3" s="100"/>
    </row>
    <row r="4" spans="1:12" ht="9.6" customHeight="1">
      <c r="A4" s="348"/>
      <c r="B4" s="348"/>
      <c r="C4" s="348"/>
      <c r="D4" s="348"/>
      <c r="E4" s="348"/>
      <c r="F4" s="348"/>
      <c r="G4" s="348"/>
      <c r="H4" s="348"/>
      <c r="I4" s="348"/>
      <c r="J4" s="366"/>
      <c r="K4" s="101"/>
      <c r="L4" s="101"/>
    </row>
    <row r="5" spans="1:12" ht="15.75">
      <c r="A5" s="351" t="s">
        <v>318</v>
      </c>
      <c r="B5" s="351"/>
      <c r="C5" s="351"/>
      <c r="D5" s="351"/>
      <c r="E5" s="351"/>
      <c r="F5" s="351"/>
      <c r="G5" s="351"/>
      <c r="H5" s="351"/>
      <c r="I5" s="351"/>
      <c r="J5" s="366"/>
      <c r="K5" s="100"/>
      <c r="L5" s="100"/>
    </row>
    <row r="6" spans="1:12" ht="15.75">
      <c r="A6" s="63" t="s">
        <v>319</v>
      </c>
      <c r="B6" s="352" t="s">
        <v>320</v>
      </c>
      <c r="C6" s="352"/>
      <c r="D6" s="352"/>
      <c r="E6" s="352"/>
      <c r="F6" s="352"/>
      <c r="G6" s="352"/>
      <c r="H6" s="352"/>
      <c r="I6" s="102"/>
      <c r="J6" s="366"/>
      <c r="K6" s="103" t="s">
        <v>321</v>
      </c>
      <c r="L6" s="104"/>
    </row>
    <row r="7" spans="1:12" ht="15.75">
      <c r="A7" s="63" t="s">
        <v>322</v>
      </c>
      <c r="B7" s="352" t="s">
        <v>323</v>
      </c>
      <c r="C7" s="352"/>
      <c r="D7" s="352"/>
      <c r="E7" s="352"/>
      <c r="F7" s="352"/>
      <c r="G7" s="352"/>
      <c r="H7" s="352"/>
      <c r="I7" s="63" t="s">
        <v>324</v>
      </c>
      <c r="J7" s="366"/>
      <c r="K7" s="105" t="s">
        <v>325</v>
      </c>
      <c r="L7" s="106"/>
    </row>
    <row r="8" spans="1:12" ht="15.75">
      <c r="A8" s="63" t="s">
        <v>326</v>
      </c>
      <c r="B8" s="352" t="s">
        <v>327</v>
      </c>
      <c r="C8" s="352"/>
      <c r="D8" s="352"/>
      <c r="E8" s="352"/>
      <c r="F8" s="352"/>
      <c r="G8" s="352"/>
      <c r="H8" s="352"/>
      <c r="I8" s="63" t="s">
        <v>328</v>
      </c>
      <c r="J8" s="366"/>
      <c r="K8" s="107" t="s">
        <v>329</v>
      </c>
      <c r="L8" s="108">
        <f>J137</f>
        <v>3331.8744000000006</v>
      </c>
    </row>
    <row r="9" spans="1:12" ht="15.75">
      <c r="A9" s="63" t="s">
        <v>330</v>
      </c>
      <c r="B9" s="352" t="s">
        <v>331</v>
      </c>
      <c r="C9" s="352"/>
      <c r="D9" s="352"/>
      <c r="E9" s="352"/>
      <c r="F9" s="352"/>
      <c r="G9" s="352"/>
      <c r="H9" s="352"/>
      <c r="I9" s="63">
        <v>12</v>
      </c>
      <c r="J9" s="366"/>
      <c r="K9" s="109"/>
      <c r="L9" s="109"/>
    </row>
    <row r="10" spans="1:12" ht="15.75">
      <c r="A10" s="353"/>
      <c r="B10" s="353"/>
      <c r="C10" s="353"/>
      <c r="D10" s="353"/>
      <c r="E10" s="353"/>
      <c r="F10" s="353"/>
      <c r="G10" s="353"/>
      <c r="H10" s="353"/>
      <c r="I10" s="353"/>
      <c r="J10" s="366"/>
      <c r="K10" s="103" t="s">
        <v>332</v>
      </c>
      <c r="L10" s="104"/>
    </row>
    <row r="11" spans="1:12" ht="15.75">
      <c r="A11" s="351" t="s">
        <v>333</v>
      </c>
      <c r="B11" s="351"/>
      <c r="C11" s="351"/>
      <c r="D11" s="351"/>
      <c r="E11" s="351"/>
      <c r="F11" s="351"/>
      <c r="G11" s="351"/>
      <c r="H11" s="351"/>
      <c r="I11" s="351"/>
      <c r="J11" s="366"/>
      <c r="K11" s="110" t="s">
        <v>334</v>
      </c>
      <c r="L11" s="111"/>
    </row>
    <row r="12" spans="1:12" ht="15.75">
      <c r="A12" s="350" t="s">
        <v>335</v>
      </c>
      <c r="B12" s="350"/>
      <c r="C12" s="350" t="s">
        <v>336</v>
      </c>
      <c r="D12" s="350"/>
      <c r="E12" s="350" t="s">
        <v>337</v>
      </c>
      <c r="F12" s="350"/>
      <c r="G12" s="350"/>
      <c r="H12" s="350"/>
      <c r="I12" s="350"/>
      <c r="J12" s="366"/>
      <c r="K12" s="112" t="s">
        <v>338</v>
      </c>
      <c r="L12" s="113">
        <v>0.11</v>
      </c>
    </row>
    <row r="13" spans="1:12" ht="15.75">
      <c r="A13" s="354" t="s">
        <v>339</v>
      </c>
      <c r="B13" s="354"/>
      <c r="C13" s="355" t="s">
        <v>340</v>
      </c>
      <c r="D13" s="355"/>
      <c r="E13" s="350">
        <v>3</v>
      </c>
      <c r="F13" s="350"/>
      <c r="G13" s="350"/>
      <c r="H13" s="350"/>
      <c r="I13" s="350"/>
      <c r="J13" s="366"/>
      <c r="K13" s="114" t="s">
        <v>341</v>
      </c>
      <c r="L13" s="115">
        <f>I52</f>
        <v>473.82</v>
      </c>
    </row>
    <row r="14" spans="1:12" ht="15.75">
      <c r="A14" s="351" t="s">
        <v>342</v>
      </c>
      <c r="B14" s="351"/>
      <c r="C14" s="351"/>
      <c r="D14" s="351"/>
      <c r="E14" s="351"/>
      <c r="F14" s="351"/>
      <c r="G14" s="351"/>
      <c r="H14" s="351"/>
      <c r="I14" s="351"/>
      <c r="J14" s="366"/>
      <c r="K14" s="114" t="s">
        <v>343</v>
      </c>
      <c r="L14" s="115">
        <f>I104</f>
        <v>363.69</v>
      </c>
    </row>
    <row r="15" spans="1:12" ht="15.75">
      <c r="A15" s="63">
        <v>1</v>
      </c>
      <c r="B15" s="352" t="s">
        <v>344</v>
      </c>
      <c r="C15" s="352"/>
      <c r="D15" s="352"/>
      <c r="E15" s="352"/>
      <c r="F15" s="352"/>
      <c r="G15" s="352"/>
      <c r="H15" s="352"/>
      <c r="I15" s="69" t="s">
        <v>493</v>
      </c>
      <c r="J15" s="366"/>
      <c r="K15" s="114" t="s">
        <v>346</v>
      </c>
      <c r="L15" s="115">
        <f>I51</f>
        <v>0</v>
      </c>
    </row>
    <row r="16" spans="1:12" ht="15.75">
      <c r="A16" s="63">
        <v>2</v>
      </c>
      <c r="B16" s="352" t="s">
        <v>347</v>
      </c>
      <c r="C16" s="352"/>
      <c r="D16" s="352"/>
      <c r="E16" s="352"/>
      <c r="F16" s="352"/>
      <c r="G16" s="352"/>
      <c r="H16" s="352"/>
      <c r="I16" s="63" t="s">
        <v>494</v>
      </c>
      <c r="J16" s="366"/>
      <c r="K16" s="116" t="s">
        <v>349</v>
      </c>
      <c r="L16" s="117">
        <f>SUM(L13:L15)</f>
        <v>837.51</v>
      </c>
    </row>
    <row r="17" spans="1:12" ht="15.75">
      <c r="A17" s="63">
        <v>3</v>
      </c>
      <c r="B17" s="352" t="s">
        <v>350</v>
      </c>
      <c r="C17" s="352"/>
      <c r="D17" s="352"/>
      <c r="E17" s="352"/>
      <c r="F17" s="352"/>
      <c r="G17" s="352"/>
      <c r="H17" s="352"/>
      <c r="I17" s="204">
        <v>1878.06</v>
      </c>
      <c r="J17" s="366"/>
      <c r="K17" s="114" t="s">
        <v>351</v>
      </c>
      <c r="L17" s="118">
        <f>I138</f>
        <v>4808.8680000000004</v>
      </c>
    </row>
    <row r="18" spans="1:12" ht="38.25">
      <c r="A18" s="6">
        <v>4</v>
      </c>
      <c r="B18" s="356" t="s">
        <v>352</v>
      </c>
      <c r="C18" s="356"/>
      <c r="D18" s="356"/>
      <c r="E18" s="356"/>
      <c r="F18" s="356"/>
      <c r="G18" s="356"/>
      <c r="H18" s="356"/>
      <c r="I18" s="13" t="s">
        <v>353</v>
      </c>
      <c r="J18" s="366"/>
      <c r="K18" s="119" t="s">
        <v>354</v>
      </c>
      <c r="L18" s="120">
        <f>L17-L16</f>
        <v>3971.3580000000002</v>
      </c>
    </row>
    <row r="19" spans="1:12" ht="15.75">
      <c r="A19" s="63">
        <v>5</v>
      </c>
      <c r="B19" s="352" t="s">
        <v>355</v>
      </c>
      <c r="C19" s="352"/>
      <c r="D19" s="352"/>
      <c r="E19" s="352"/>
      <c r="F19" s="352"/>
      <c r="G19" s="352"/>
      <c r="H19" s="352"/>
      <c r="I19" s="102" t="s">
        <v>356</v>
      </c>
      <c r="J19" s="366"/>
      <c r="K19" s="121" t="s">
        <v>357</v>
      </c>
      <c r="L19" s="122">
        <f>L18*11%</f>
        <v>436.84938</v>
      </c>
    </row>
    <row r="20" spans="1:12" ht="6" customHeight="1">
      <c r="A20" s="357"/>
      <c r="B20" s="357"/>
      <c r="C20" s="357"/>
      <c r="D20" s="357"/>
      <c r="E20" s="357"/>
      <c r="F20" s="357"/>
      <c r="G20" s="357"/>
      <c r="H20" s="357"/>
      <c r="I20" s="357"/>
      <c r="J20" s="366"/>
      <c r="K20" s="112" t="s">
        <v>358</v>
      </c>
      <c r="L20" s="123"/>
    </row>
    <row r="21" spans="1:12" ht="15.75" customHeight="1">
      <c r="A21" s="351" t="s">
        <v>359</v>
      </c>
      <c r="B21" s="351"/>
      <c r="C21" s="351"/>
      <c r="D21" s="351"/>
      <c r="E21" s="351"/>
      <c r="F21" s="351"/>
      <c r="G21" s="351"/>
      <c r="H21" s="351"/>
      <c r="I21" s="351"/>
      <c r="J21" s="366"/>
      <c r="K21" s="124" t="s">
        <v>360</v>
      </c>
      <c r="L21" s="125">
        <v>1.2E-2</v>
      </c>
    </row>
    <row r="22" spans="1:12" ht="15.75" customHeight="1">
      <c r="A22" s="95">
        <v>1</v>
      </c>
      <c r="B22" s="351" t="s">
        <v>361</v>
      </c>
      <c r="C22" s="351"/>
      <c r="D22" s="351"/>
      <c r="E22" s="351"/>
      <c r="F22" s="351"/>
      <c r="G22" s="351"/>
      <c r="H22" s="96" t="s">
        <v>362</v>
      </c>
      <c r="I22" s="96" t="s">
        <v>363</v>
      </c>
      <c r="J22" s="366"/>
      <c r="K22" s="126" t="s">
        <v>364</v>
      </c>
      <c r="L22" s="127">
        <v>4.8000000000000001E-2</v>
      </c>
    </row>
    <row r="23" spans="1:12" ht="15.75" customHeight="1">
      <c r="A23" s="95" t="s">
        <v>319</v>
      </c>
      <c r="B23" s="352" t="s">
        <v>365</v>
      </c>
      <c r="C23" s="352"/>
      <c r="D23" s="352"/>
      <c r="E23" s="352"/>
      <c r="F23" s="352"/>
      <c r="G23" s="352"/>
      <c r="H23" s="62"/>
      <c r="I23" s="128">
        <f>I17</f>
        <v>1878.06</v>
      </c>
      <c r="J23" s="366"/>
      <c r="K23" s="114" t="s">
        <v>366</v>
      </c>
      <c r="L23" s="118">
        <f>L17</f>
        <v>4808.8680000000004</v>
      </c>
    </row>
    <row r="24" spans="1:12" ht="15.75" customHeight="1">
      <c r="A24" s="95" t="s">
        <v>322</v>
      </c>
      <c r="B24" s="352" t="s">
        <v>367</v>
      </c>
      <c r="C24" s="352"/>
      <c r="D24" s="352"/>
      <c r="E24" s="352"/>
      <c r="F24" s="352"/>
      <c r="G24" s="352"/>
      <c r="H24" s="97"/>
      <c r="I24" s="128">
        <v>0</v>
      </c>
      <c r="J24" s="366"/>
      <c r="K24" s="121" t="s">
        <v>368</v>
      </c>
      <c r="L24" s="122">
        <f>L23*L21</f>
        <v>57.706416000000004</v>
      </c>
    </row>
    <row r="25" spans="1:12" ht="15.75" customHeight="1">
      <c r="A25" s="95" t="s">
        <v>326</v>
      </c>
      <c r="B25" s="352" t="s">
        <v>369</v>
      </c>
      <c r="C25" s="352"/>
      <c r="D25" s="352"/>
      <c r="E25" s="352"/>
      <c r="F25" s="352"/>
      <c r="G25" s="352"/>
      <c r="H25" s="97"/>
      <c r="I25" s="128">
        <v>0</v>
      </c>
      <c r="J25" s="366"/>
      <c r="K25" s="112" t="s">
        <v>370</v>
      </c>
      <c r="L25" s="113">
        <v>0.01</v>
      </c>
    </row>
    <row r="26" spans="1:12" ht="15.75" customHeight="1">
      <c r="A26" s="95" t="s">
        <v>330</v>
      </c>
      <c r="B26" s="352" t="s">
        <v>371</v>
      </c>
      <c r="C26" s="352"/>
      <c r="D26" s="352"/>
      <c r="E26" s="352"/>
      <c r="F26" s="352"/>
      <c r="G26" s="352"/>
      <c r="H26" s="97"/>
      <c r="I26" s="128">
        <v>0</v>
      </c>
      <c r="J26" s="366"/>
      <c r="K26" s="119" t="s">
        <v>351</v>
      </c>
      <c r="L26" s="120">
        <f>L17</f>
        <v>4808.8680000000004</v>
      </c>
    </row>
    <row r="27" spans="1:12" ht="15.75" customHeight="1">
      <c r="A27" s="95" t="s">
        <v>372</v>
      </c>
      <c r="B27" s="352" t="s">
        <v>373</v>
      </c>
      <c r="C27" s="352"/>
      <c r="D27" s="352"/>
      <c r="E27" s="352"/>
      <c r="F27" s="352"/>
      <c r="G27" s="352"/>
      <c r="H27" s="97"/>
      <c r="I27" s="128">
        <v>0</v>
      </c>
      <c r="J27" s="366"/>
      <c r="K27" s="121" t="s">
        <v>357</v>
      </c>
      <c r="L27" s="122">
        <f>L26*L25</f>
        <v>48.088680000000004</v>
      </c>
    </row>
    <row r="28" spans="1:12" ht="15.75" customHeight="1">
      <c r="A28" s="95" t="s">
        <v>374</v>
      </c>
      <c r="B28" s="352" t="s">
        <v>375</v>
      </c>
      <c r="C28" s="352"/>
      <c r="D28" s="352"/>
      <c r="E28" s="352"/>
      <c r="F28" s="352"/>
      <c r="G28" s="352"/>
      <c r="H28" s="97"/>
      <c r="I28" s="128">
        <v>0</v>
      </c>
      <c r="J28" s="366"/>
      <c r="K28" s="112" t="s">
        <v>376</v>
      </c>
      <c r="L28" s="113">
        <f>H117</f>
        <v>2.6599999999999999E-2</v>
      </c>
    </row>
    <row r="29" spans="1:12" ht="15.75" customHeight="1">
      <c r="A29" s="351" t="s">
        <v>377</v>
      </c>
      <c r="B29" s="351"/>
      <c r="C29" s="351"/>
      <c r="D29" s="351"/>
      <c r="E29" s="351"/>
      <c r="F29" s="351"/>
      <c r="G29" s="351"/>
      <c r="H29" s="351"/>
      <c r="I29" s="129">
        <f>SUM(I23:I28)</f>
        <v>1878.06</v>
      </c>
      <c r="J29" s="130">
        <f>SUM(I23:I28)</f>
        <v>1878.06</v>
      </c>
      <c r="K29" s="119" t="s">
        <v>351</v>
      </c>
      <c r="L29" s="120">
        <f>L17</f>
        <v>4808.8680000000004</v>
      </c>
    </row>
    <row r="30" spans="1:12" ht="9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131"/>
      <c r="K30" s="121" t="s">
        <v>357</v>
      </c>
      <c r="L30" s="122">
        <f>L29*L28</f>
        <v>127.9158888</v>
      </c>
    </row>
    <row r="31" spans="1:12" ht="15.75" customHeight="1">
      <c r="A31" s="351" t="s">
        <v>378</v>
      </c>
      <c r="B31" s="351"/>
      <c r="C31" s="351"/>
      <c r="D31" s="351"/>
      <c r="E31" s="351"/>
      <c r="F31" s="351"/>
      <c r="G31" s="351"/>
      <c r="H31" s="351"/>
      <c r="I31" s="351"/>
      <c r="J31" s="131"/>
      <c r="K31" s="112" t="s">
        <v>379</v>
      </c>
      <c r="L31" s="113">
        <f>H116</f>
        <v>5.7999999999999996E-3</v>
      </c>
    </row>
    <row r="32" spans="1:12" ht="15.75" customHeight="1">
      <c r="A32" s="351" t="s">
        <v>380</v>
      </c>
      <c r="B32" s="351"/>
      <c r="C32" s="351"/>
      <c r="D32" s="351"/>
      <c r="E32" s="351"/>
      <c r="F32" s="351"/>
      <c r="G32" s="351"/>
      <c r="H32" s="96" t="s">
        <v>362</v>
      </c>
      <c r="I32" s="96" t="s">
        <v>363</v>
      </c>
      <c r="J32" s="132"/>
      <c r="K32" s="119" t="s">
        <v>351</v>
      </c>
      <c r="L32" s="120">
        <f>L17</f>
        <v>4808.8680000000004</v>
      </c>
    </row>
    <row r="33" spans="1:12" ht="15.75" customHeight="1">
      <c r="A33" s="95" t="s">
        <v>319</v>
      </c>
      <c r="B33" s="352" t="s">
        <v>381</v>
      </c>
      <c r="C33" s="352"/>
      <c r="D33" s="352"/>
      <c r="E33" s="352"/>
      <c r="F33" s="352"/>
      <c r="G33" s="352"/>
      <c r="H33" s="97">
        <f>ROUND(1/12,4)</f>
        <v>8.3299999999999999E-2</v>
      </c>
      <c r="I33" s="133">
        <f>ROUND(I29*H33,2)</f>
        <v>156.44</v>
      </c>
      <c r="J33" s="130">
        <f>I33+(I33*$H$48)</f>
        <v>210.88112000000001</v>
      </c>
      <c r="K33" s="121" t="s">
        <v>357</v>
      </c>
      <c r="L33" s="122">
        <f>L32*L31</f>
        <v>27.891434400000001</v>
      </c>
    </row>
    <row r="34" spans="1:12" ht="15.75" customHeight="1">
      <c r="A34" s="95" t="s">
        <v>322</v>
      </c>
      <c r="B34" s="352" t="s">
        <v>382</v>
      </c>
      <c r="C34" s="352"/>
      <c r="D34" s="352"/>
      <c r="E34" s="352"/>
      <c r="F34" s="352"/>
      <c r="G34" s="352"/>
      <c r="H34" s="97">
        <v>0.121</v>
      </c>
      <c r="I34" s="133">
        <f>ROUND(I29*H34,2)</f>
        <v>227.25</v>
      </c>
      <c r="J34" s="130">
        <f>I34+(I34*$H$48)</f>
        <v>306.33300000000003</v>
      </c>
      <c r="K34" s="112" t="s">
        <v>383</v>
      </c>
      <c r="L34" s="113">
        <f>H118</f>
        <v>0.05</v>
      </c>
    </row>
    <row r="35" spans="1:12" ht="15.75" customHeight="1">
      <c r="A35" s="351" t="s">
        <v>384</v>
      </c>
      <c r="B35" s="351"/>
      <c r="C35" s="351"/>
      <c r="D35" s="351"/>
      <c r="E35" s="351"/>
      <c r="F35" s="351"/>
      <c r="G35" s="351"/>
      <c r="H35" s="98">
        <f>SUM(H33:H34)</f>
        <v>0.20430000000000001</v>
      </c>
      <c r="I35" s="129">
        <f>SUM(I33:I34)</f>
        <v>383.69</v>
      </c>
      <c r="J35" s="134"/>
      <c r="K35" s="119" t="s">
        <v>351</v>
      </c>
      <c r="L35" s="120">
        <f>L17</f>
        <v>4808.8680000000004</v>
      </c>
    </row>
    <row r="36" spans="1:12" ht="15.75" customHeight="1">
      <c r="A36" s="369" t="s">
        <v>385</v>
      </c>
      <c r="B36" s="369"/>
      <c r="C36" s="369"/>
      <c r="D36" s="369"/>
      <c r="E36" s="369"/>
      <c r="F36" s="369"/>
      <c r="G36" s="358" t="s">
        <v>386</v>
      </c>
      <c r="H36" s="358"/>
      <c r="I36" s="135">
        <f>I29</f>
        <v>1878.06</v>
      </c>
      <c r="J36" s="136"/>
      <c r="K36" s="121" t="s">
        <v>357</v>
      </c>
      <c r="L36" s="122">
        <f>L35*L34</f>
        <v>240.44340000000003</v>
      </c>
    </row>
    <row r="37" spans="1:12" ht="15.75" customHeight="1">
      <c r="A37" s="369"/>
      <c r="B37" s="369"/>
      <c r="C37" s="369"/>
      <c r="D37" s="369"/>
      <c r="E37" s="369"/>
      <c r="F37" s="369"/>
      <c r="G37" s="358" t="s">
        <v>387</v>
      </c>
      <c r="H37" s="358"/>
      <c r="I37" s="135">
        <f>I35</f>
        <v>383.69</v>
      </c>
      <c r="J37" s="137"/>
      <c r="K37" s="138" t="s">
        <v>388</v>
      </c>
      <c r="L37" s="139">
        <f>L19+L24+L27+L30+L33+L36</f>
        <v>938.89519919999987</v>
      </c>
    </row>
    <row r="38" spans="1:12" ht="15.75" customHeight="1">
      <c r="A38" s="369"/>
      <c r="B38" s="369"/>
      <c r="C38" s="369"/>
      <c r="D38" s="369"/>
      <c r="E38" s="369"/>
      <c r="F38" s="369"/>
      <c r="G38" s="359" t="s">
        <v>389</v>
      </c>
      <c r="H38" s="359"/>
      <c r="I38" s="140">
        <f>SUM(I36:I37)</f>
        <v>2261.75</v>
      </c>
      <c r="J38" s="136"/>
      <c r="K38" s="141"/>
      <c r="L38" s="141"/>
    </row>
    <row r="39" spans="1:12" ht="15.75" customHeight="1">
      <c r="A39" s="351" t="s">
        <v>390</v>
      </c>
      <c r="B39" s="351"/>
      <c r="C39" s="351"/>
      <c r="D39" s="351"/>
      <c r="E39" s="351"/>
      <c r="F39" s="351"/>
      <c r="G39" s="351"/>
      <c r="H39" s="96" t="s">
        <v>362</v>
      </c>
      <c r="I39" s="96" t="s">
        <v>363</v>
      </c>
      <c r="J39" s="136"/>
      <c r="K39" s="142" t="s">
        <v>391</v>
      </c>
      <c r="L39" s="143"/>
    </row>
    <row r="40" spans="1:12" ht="15.75" customHeight="1">
      <c r="A40" s="95" t="s">
        <v>319</v>
      </c>
      <c r="B40" s="352" t="s">
        <v>392</v>
      </c>
      <c r="C40" s="352"/>
      <c r="D40" s="352"/>
      <c r="E40" s="352"/>
      <c r="F40" s="352"/>
      <c r="G40" s="352"/>
      <c r="H40" s="97">
        <v>0.2</v>
      </c>
      <c r="I40" s="133">
        <f t="shared" ref="I40:I47" si="0">ROUND($I$38*H40,2)</f>
        <v>452.35</v>
      </c>
      <c r="J40" s="144" t="s">
        <v>393</v>
      </c>
      <c r="K40" s="145" t="s">
        <v>394</v>
      </c>
      <c r="L40" s="146"/>
    </row>
    <row r="41" spans="1:12" ht="15.75" customHeight="1">
      <c r="A41" s="95" t="s">
        <v>322</v>
      </c>
      <c r="B41" s="352" t="s">
        <v>395</v>
      </c>
      <c r="C41" s="352"/>
      <c r="D41" s="352"/>
      <c r="E41" s="352"/>
      <c r="F41" s="352"/>
      <c r="G41" s="352"/>
      <c r="H41" s="97">
        <v>2.5000000000000001E-2</v>
      </c>
      <c r="I41" s="133">
        <f t="shared" si="0"/>
        <v>56.54</v>
      </c>
      <c r="J41" s="130">
        <f t="shared" ref="J41:J47" si="1">$I$29*H41</f>
        <v>46.951500000000003</v>
      </c>
      <c r="K41" s="147" t="s">
        <v>394</v>
      </c>
      <c r="L41" s="148">
        <f>L8+L37</f>
        <v>4270.7695992000008</v>
      </c>
    </row>
    <row r="42" spans="1:12" ht="15.75" customHeight="1">
      <c r="A42" s="95" t="s">
        <v>326</v>
      </c>
      <c r="B42" s="352" t="s">
        <v>396</v>
      </c>
      <c r="C42" s="352"/>
      <c r="D42" s="352"/>
      <c r="E42" s="352"/>
      <c r="F42" s="352"/>
      <c r="G42" s="352"/>
      <c r="H42" s="402">
        <v>0.01</v>
      </c>
      <c r="I42" s="133">
        <f t="shared" si="0"/>
        <v>22.62</v>
      </c>
      <c r="J42" s="144" t="s">
        <v>393</v>
      </c>
      <c r="K42" s="109"/>
      <c r="L42" s="149"/>
    </row>
    <row r="43" spans="1:12" ht="15.75" customHeight="1">
      <c r="A43" s="95" t="s">
        <v>330</v>
      </c>
      <c r="B43" s="352" t="s">
        <v>397</v>
      </c>
      <c r="C43" s="352"/>
      <c r="D43" s="352"/>
      <c r="E43" s="352"/>
      <c r="F43" s="352"/>
      <c r="G43" s="352"/>
      <c r="H43" s="97">
        <v>1.4999999999999999E-2</v>
      </c>
      <c r="I43" s="133">
        <f t="shared" si="0"/>
        <v>33.93</v>
      </c>
      <c r="J43" s="130">
        <f t="shared" si="1"/>
        <v>28.1709</v>
      </c>
      <c r="K43" s="109"/>
      <c r="L43" s="149"/>
    </row>
    <row r="44" spans="1:12" ht="15.75" customHeight="1">
      <c r="A44" s="95" t="s">
        <v>372</v>
      </c>
      <c r="B44" s="352" t="s">
        <v>398</v>
      </c>
      <c r="C44" s="352"/>
      <c r="D44" s="352"/>
      <c r="E44" s="352"/>
      <c r="F44" s="352"/>
      <c r="G44" s="352"/>
      <c r="H44" s="97">
        <v>0.01</v>
      </c>
      <c r="I44" s="133">
        <f t="shared" si="0"/>
        <v>22.62</v>
      </c>
      <c r="J44" s="130">
        <f t="shared" si="1"/>
        <v>18.7806</v>
      </c>
      <c r="K44" s="109"/>
      <c r="L44" s="149"/>
    </row>
    <row r="45" spans="1:12" ht="15.75" customHeight="1">
      <c r="A45" s="95" t="s">
        <v>374</v>
      </c>
      <c r="B45" s="352" t="s">
        <v>399</v>
      </c>
      <c r="C45" s="352"/>
      <c r="D45" s="352"/>
      <c r="E45" s="352"/>
      <c r="F45" s="352"/>
      <c r="G45" s="352"/>
      <c r="H45" s="97">
        <v>6.0000000000000001E-3</v>
      </c>
      <c r="I45" s="133">
        <f t="shared" si="0"/>
        <v>13.57</v>
      </c>
      <c r="J45" s="130">
        <f t="shared" si="1"/>
        <v>11.268359999999999</v>
      </c>
      <c r="K45" s="109"/>
      <c r="L45" s="149"/>
    </row>
    <row r="46" spans="1:12" ht="15.75" customHeight="1">
      <c r="A46" s="95" t="s">
        <v>400</v>
      </c>
      <c r="B46" s="352" t="s">
        <v>401</v>
      </c>
      <c r="C46" s="352"/>
      <c r="D46" s="352"/>
      <c r="E46" s="352"/>
      <c r="F46" s="352"/>
      <c r="G46" s="352"/>
      <c r="H46" s="97">
        <v>2E-3</v>
      </c>
      <c r="I46" s="133">
        <f t="shared" si="0"/>
        <v>4.5199999999999996</v>
      </c>
      <c r="J46" s="130">
        <f t="shared" si="1"/>
        <v>3.7561200000000001</v>
      </c>
      <c r="K46" s="109"/>
      <c r="L46" s="149"/>
    </row>
    <row r="47" spans="1:12" ht="15.75" customHeight="1">
      <c r="A47" s="95" t="s">
        <v>402</v>
      </c>
      <c r="B47" s="352" t="s">
        <v>403</v>
      </c>
      <c r="C47" s="352"/>
      <c r="D47" s="352"/>
      <c r="E47" s="352"/>
      <c r="F47" s="352"/>
      <c r="G47" s="352"/>
      <c r="H47" s="97">
        <v>0.08</v>
      </c>
      <c r="I47" s="133">
        <f t="shared" si="0"/>
        <v>180.94</v>
      </c>
      <c r="J47" s="130">
        <f t="shared" si="1"/>
        <v>150.2448</v>
      </c>
      <c r="K47" s="360" t="s">
        <v>404</v>
      </c>
      <c r="L47" s="360"/>
    </row>
    <row r="48" spans="1:12" ht="15.75" customHeight="1">
      <c r="A48" s="351" t="s">
        <v>405</v>
      </c>
      <c r="B48" s="351"/>
      <c r="C48" s="351"/>
      <c r="D48" s="351"/>
      <c r="E48" s="351"/>
      <c r="F48" s="351"/>
      <c r="G48" s="351"/>
      <c r="H48" s="98">
        <f>SUM(H40:H47)</f>
        <v>0.34800000000000003</v>
      </c>
      <c r="I48" s="129">
        <f>SUM(I40:I47)</f>
        <v>787.08999999999992</v>
      </c>
      <c r="J48" s="137"/>
      <c r="K48" s="361" t="s">
        <v>406</v>
      </c>
      <c r="L48" s="361"/>
    </row>
    <row r="49" spans="1:12" ht="10.15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137"/>
      <c r="K49" s="150" t="s">
        <v>407</v>
      </c>
      <c r="L49" s="151">
        <v>3</v>
      </c>
    </row>
    <row r="50" spans="1:12" ht="15.75" customHeight="1">
      <c r="A50" s="351" t="s">
        <v>408</v>
      </c>
      <c r="B50" s="351"/>
      <c r="C50" s="351"/>
      <c r="D50" s="351"/>
      <c r="E50" s="351"/>
      <c r="F50" s="351"/>
      <c r="G50" s="351"/>
      <c r="H50" s="98"/>
      <c r="I50" s="96" t="s">
        <v>363</v>
      </c>
      <c r="J50" s="137"/>
      <c r="K50" s="367" t="s">
        <v>409</v>
      </c>
      <c r="L50" s="368">
        <f>L41</f>
        <v>4270.7695992000008</v>
      </c>
    </row>
    <row r="51" spans="1:12" ht="15.75" customHeight="1">
      <c r="A51" s="95" t="s">
        <v>319</v>
      </c>
      <c r="B51" s="357" t="s">
        <v>410</v>
      </c>
      <c r="C51" s="357"/>
      <c r="D51" s="357"/>
      <c r="E51" s="357"/>
      <c r="F51" s="357"/>
      <c r="G51" s="357"/>
      <c r="H51" s="99" t="s">
        <v>303</v>
      </c>
      <c r="I51" s="128">
        <v>0</v>
      </c>
      <c r="J51" s="130">
        <f t="shared" ref="J51:J54" si="2">I51</f>
        <v>0</v>
      </c>
      <c r="K51" s="367"/>
      <c r="L51" s="368"/>
    </row>
    <row r="52" spans="1:12" ht="15.75" customHeight="1">
      <c r="A52" s="95" t="s">
        <v>322</v>
      </c>
      <c r="B52" s="357" t="s">
        <v>411</v>
      </c>
      <c r="C52" s="357"/>
      <c r="D52" s="357"/>
      <c r="E52" s="357"/>
      <c r="F52" s="357"/>
      <c r="G52" s="357"/>
      <c r="H52" s="63" t="s">
        <v>303</v>
      </c>
      <c r="I52" s="128">
        <v>473.82</v>
      </c>
      <c r="J52" s="130">
        <f t="shared" si="2"/>
        <v>473.82</v>
      </c>
      <c r="K52" s="367"/>
      <c r="L52" s="368"/>
    </row>
    <row r="53" spans="1:12" ht="15.75" customHeight="1">
      <c r="A53" s="95" t="s">
        <v>326</v>
      </c>
      <c r="B53" s="357" t="s">
        <v>412</v>
      </c>
      <c r="C53" s="357"/>
      <c r="D53" s="357"/>
      <c r="E53" s="357"/>
      <c r="F53" s="357"/>
      <c r="G53" s="357"/>
      <c r="H53" s="63" t="s">
        <v>303</v>
      </c>
      <c r="I53" s="128">
        <f>(52.15+78.22)*0.4</f>
        <v>52.148000000000003</v>
      </c>
      <c r="J53" s="130">
        <f t="shared" si="2"/>
        <v>52.148000000000003</v>
      </c>
      <c r="K53" s="153" t="s">
        <v>413</v>
      </c>
      <c r="L53" s="152">
        <f>I138</f>
        <v>4808.8680000000004</v>
      </c>
    </row>
    <row r="54" spans="1:12" ht="15.75" customHeight="1">
      <c r="A54" s="95" t="s">
        <v>330</v>
      </c>
      <c r="B54" s="357" t="s">
        <v>414</v>
      </c>
      <c r="C54" s="357"/>
      <c r="D54" s="357"/>
      <c r="E54" s="357"/>
      <c r="F54" s="357"/>
      <c r="G54" s="357"/>
      <c r="H54" s="63" t="s">
        <v>303</v>
      </c>
      <c r="I54" s="128">
        <f>ROUND((I23*26)*0.002/12,2)</f>
        <v>8.14</v>
      </c>
      <c r="J54" s="130">
        <f t="shared" si="2"/>
        <v>8.14</v>
      </c>
      <c r="K54" s="154" t="s">
        <v>415</v>
      </c>
      <c r="L54" s="155">
        <f>L41</f>
        <v>4270.7695992000008</v>
      </c>
    </row>
    <row r="55" spans="1:12" ht="15.75" customHeight="1">
      <c r="A55" s="351" t="s">
        <v>416</v>
      </c>
      <c r="B55" s="351"/>
      <c r="C55" s="351"/>
      <c r="D55" s="351"/>
      <c r="E55" s="351"/>
      <c r="F55" s="351"/>
      <c r="G55" s="351"/>
      <c r="H55" s="351"/>
      <c r="I55" s="129">
        <f>SUM(I51:I54)</f>
        <v>534.10799999999995</v>
      </c>
      <c r="J55" s="134"/>
      <c r="K55" s="156" t="s">
        <v>417</v>
      </c>
      <c r="L55" s="157">
        <f>L53-L54</f>
        <v>538.09840079999958</v>
      </c>
    </row>
    <row r="56" spans="1:12" ht="51.75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134"/>
      <c r="K56" s="158" t="s">
        <v>418</v>
      </c>
      <c r="L56" s="159">
        <f>SUM(I68:I71,I96,I104,I113)</f>
        <v>613.87</v>
      </c>
    </row>
    <row r="57" spans="1:12" ht="15.75" customHeight="1">
      <c r="A57" s="351" t="s">
        <v>419</v>
      </c>
      <c r="B57" s="351"/>
      <c r="C57" s="351"/>
      <c r="D57" s="351"/>
      <c r="E57" s="351"/>
      <c r="F57" s="351"/>
      <c r="G57" s="351"/>
      <c r="H57" s="351"/>
      <c r="I57" s="351"/>
      <c r="J57" s="134"/>
      <c r="K57" s="158" t="s">
        <v>420</v>
      </c>
      <c r="L57" s="160">
        <f>L55-L56</f>
        <v>-75.771599200000423</v>
      </c>
    </row>
    <row r="58" spans="1:12" ht="15.75" customHeight="1">
      <c r="A58" s="351" t="s">
        <v>421</v>
      </c>
      <c r="B58" s="351"/>
      <c r="C58" s="351"/>
      <c r="D58" s="351"/>
      <c r="E58" s="351"/>
      <c r="F58" s="351"/>
      <c r="G58" s="351"/>
      <c r="H58" s="351"/>
      <c r="I58" s="96" t="s">
        <v>363</v>
      </c>
      <c r="J58" s="134"/>
      <c r="K58" s="161" t="s">
        <v>422</v>
      </c>
      <c r="L58" s="162">
        <f>ROUND(L57*L49,2)</f>
        <v>-227.31</v>
      </c>
    </row>
    <row r="59" spans="1:12" ht="15.75" customHeight="1">
      <c r="A59" s="95" t="s">
        <v>215</v>
      </c>
      <c r="B59" s="352" t="s">
        <v>423</v>
      </c>
      <c r="C59" s="352"/>
      <c r="D59" s="352"/>
      <c r="E59" s="352"/>
      <c r="F59" s="352"/>
      <c r="G59" s="352"/>
      <c r="H59" s="352"/>
      <c r="I59" s="133">
        <f>I35</f>
        <v>383.69</v>
      </c>
      <c r="J59" s="134"/>
      <c r="K59" s="161" t="s">
        <v>424</v>
      </c>
      <c r="L59" s="162">
        <f>ROUND((L57*12)*L49,2)</f>
        <v>-2727.78</v>
      </c>
    </row>
    <row r="60" spans="1:12" ht="15.75" customHeight="1">
      <c r="A60" s="95" t="s">
        <v>245</v>
      </c>
      <c r="B60" s="352" t="s">
        <v>425</v>
      </c>
      <c r="C60" s="352"/>
      <c r="D60" s="352"/>
      <c r="E60" s="352"/>
      <c r="F60" s="352"/>
      <c r="G60" s="352"/>
      <c r="H60" s="352"/>
      <c r="I60" s="133">
        <f>I48</f>
        <v>787.08999999999992</v>
      </c>
      <c r="J60" s="134"/>
      <c r="K60" s="372" t="s">
        <v>426</v>
      </c>
      <c r="L60" s="372"/>
    </row>
    <row r="61" spans="1:12" ht="15.75" customHeight="1">
      <c r="A61" s="95" t="s">
        <v>257</v>
      </c>
      <c r="B61" s="352" t="s">
        <v>427</v>
      </c>
      <c r="C61" s="352"/>
      <c r="D61" s="352"/>
      <c r="E61" s="352"/>
      <c r="F61" s="352"/>
      <c r="G61" s="352"/>
      <c r="H61" s="352"/>
      <c r="I61" s="133">
        <f>I55</f>
        <v>534.10799999999995</v>
      </c>
      <c r="J61" s="134"/>
      <c r="K61" s="372"/>
      <c r="L61" s="372"/>
    </row>
    <row r="62" spans="1:12" ht="15.75" customHeight="1">
      <c r="A62" s="351" t="s">
        <v>428</v>
      </c>
      <c r="B62" s="351"/>
      <c r="C62" s="351"/>
      <c r="D62" s="351"/>
      <c r="E62" s="351"/>
      <c r="F62" s="351"/>
      <c r="G62" s="351"/>
      <c r="H62" s="351"/>
      <c r="I62" s="129">
        <f>SUM(I59:I61)</f>
        <v>1704.8879999999999</v>
      </c>
      <c r="J62" s="134"/>
      <c r="K62" s="372"/>
      <c r="L62" s="372"/>
    </row>
    <row r="63" spans="1:12" ht="15.75" customHeight="1">
      <c r="A63" s="370" t="s">
        <v>429</v>
      </c>
      <c r="B63" s="370"/>
      <c r="C63" s="370"/>
      <c r="D63" s="370"/>
      <c r="E63" s="370"/>
      <c r="F63" s="370"/>
      <c r="G63" s="358" t="s">
        <v>386</v>
      </c>
      <c r="H63" s="358"/>
      <c r="I63" s="135">
        <f>I29</f>
        <v>1878.06</v>
      </c>
      <c r="J63" s="134"/>
      <c r="K63" s="372"/>
      <c r="L63" s="372"/>
    </row>
    <row r="64" spans="1:12" ht="15.75" customHeight="1">
      <c r="A64" s="370"/>
      <c r="B64" s="370"/>
      <c r="C64" s="370"/>
      <c r="D64" s="370"/>
      <c r="E64" s="370"/>
      <c r="F64" s="370"/>
      <c r="G64" s="358" t="s">
        <v>430</v>
      </c>
      <c r="H64" s="358"/>
      <c r="I64" s="135">
        <f>I62</f>
        <v>1704.8879999999999</v>
      </c>
      <c r="J64" s="134"/>
      <c r="K64" s="372"/>
      <c r="L64" s="372"/>
    </row>
    <row r="65" spans="1:12" ht="15.75" customHeight="1">
      <c r="A65" s="370"/>
      <c r="B65" s="370"/>
      <c r="C65" s="370"/>
      <c r="D65" s="370"/>
      <c r="E65" s="370"/>
      <c r="F65" s="370"/>
      <c r="G65" s="359" t="s">
        <v>389</v>
      </c>
      <c r="H65" s="359"/>
      <c r="I65" s="140">
        <f>SUM(I63:I64)</f>
        <v>3582.9479999999999</v>
      </c>
      <c r="J65" s="134"/>
      <c r="K65" s="372"/>
      <c r="L65" s="372"/>
    </row>
    <row r="66" spans="1:12" ht="15.75" customHeight="1">
      <c r="A66" s="351" t="s">
        <v>431</v>
      </c>
      <c r="B66" s="351"/>
      <c r="C66" s="351"/>
      <c r="D66" s="351"/>
      <c r="E66" s="351"/>
      <c r="F66" s="351"/>
      <c r="G66" s="351"/>
      <c r="H66" s="351"/>
      <c r="I66" s="351"/>
      <c r="J66" s="134"/>
      <c r="K66" s="372"/>
      <c r="L66" s="372"/>
    </row>
    <row r="67" spans="1:12" ht="15.75" customHeight="1">
      <c r="A67" s="205">
        <v>3</v>
      </c>
      <c r="B67" s="351" t="s">
        <v>432</v>
      </c>
      <c r="C67" s="351"/>
      <c r="D67" s="351"/>
      <c r="E67" s="351"/>
      <c r="F67" s="351"/>
      <c r="G67" s="351"/>
      <c r="H67" s="96" t="s">
        <v>362</v>
      </c>
      <c r="I67" s="96" t="s">
        <v>363</v>
      </c>
      <c r="J67" s="134"/>
      <c r="K67" s="372"/>
      <c r="L67" s="372"/>
    </row>
    <row r="68" spans="1:12" ht="15.75" customHeight="1">
      <c r="A68" s="95" t="s">
        <v>319</v>
      </c>
      <c r="B68" s="352" t="s">
        <v>433</v>
      </c>
      <c r="C68" s="352"/>
      <c r="D68" s="352"/>
      <c r="E68" s="352"/>
      <c r="F68" s="352"/>
      <c r="G68" s="352"/>
      <c r="H68" s="97">
        <f>ROUND(((1/12)*5%),4)</f>
        <v>4.1999999999999997E-3</v>
      </c>
      <c r="I68" s="133">
        <f>ROUND(H68*$I$65,2)</f>
        <v>15.05</v>
      </c>
      <c r="J68" s="134"/>
      <c r="K68" s="372"/>
      <c r="L68" s="372"/>
    </row>
    <row r="69" spans="1:12" ht="15.75" customHeight="1">
      <c r="A69" s="95" t="s">
        <v>322</v>
      </c>
      <c r="B69" s="352" t="s">
        <v>434</v>
      </c>
      <c r="C69" s="352"/>
      <c r="D69" s="352"/>
      <c r="E69" s="352"/>
      <c r="F69" s="352"/>
      <c r="G69" s="352"/>
      <c r="H69" s="97">
        <f>TRUNC(H68*H47,4)</f>
        <v>2.9999999999999997E-4</v>
      </c>
      <c r="I69" s="133">
        <f>ROUND(H69*$I$65,2)</f>
        <v>1.07</v>
      </c>
      <c r="J69" s="134"/>
      <c r="K69" s="372"/>
      <c r="L69" s="372"/>
    </row>
    <row r="70" spans="1:12" ht="15.75" customHeight="1">
      <c r="A70" s="95" t="s">
        <v>326</v>
      </c>
      <c r="B70" s="352" t="s">
        <v>435</v>
      </c>
      <c r="C70" s="352"/>
      <c r="D70" s="352"/>
      <c r="E70" s="352"/>
      <c r="F70" s="352"/>
      <c r="G70" s="352"/>
      <c r="H70" s="97">
        <f>ROUND(((7/30)/12)*95%,4)</f>
        <v>1.8499999999999999E-2</v>
      </c>
      <c r="I70" s="133">
        <f>ROUND(H70*$I$65,2)</f>
        <v>66.28</v>
      </c>
      <c r="J70" s="134"/>
      <c r="K70" s="109"/>
      <c r="L70" s="109"/>
    </row>
    <row r="71" spans="1:12" ht="15.75" customHeight="1">
      <c r="A71" s="95" t="s">
        <v>330</v>
      </c>
      <c r="B71" s="363" t="s">
        <v>436</v>
      </c>
      <c r="C71" s="363"/>
      <c r="D71" s="363"/>
      <c r="E71" s="363"/>
      <c r="F71" s="363"/>
      <c r="G71" s="363"/>
      <c r="H71" s="97">
        <f>ROUND(H70*H48,4)</f>
        <v>6.4000000000000003E-3</v>
      </c>
      <c r="I71" s="133">
        <f>ROUND(H71*$I$65,2)</f>
        <v>22.93</v>
      </c>
      <c r="J71" s="134"/>
      <c r="K71" s="109"/>
      <c r="L71" s="109"/>
    </row>
    <row r="72" spans="1:12" ht="15.75" customHeight="1">
      <c r="A72" s="95" t="s">
        <v>372</v>
      </c>
      <c r="B72" s="352" t="s">
        <v>437</v>
      </c>
      <c r="C72" s="352"/>
      <c r="D72" s="352"/>
      <c r="E72" s="352"/>
      <c r="F72" s="352"/>
      <c r="G72" s="352"/>
      <c r="H72" s="97">
        <v>0.04</v>
      </c>
      <c r="I72" s="133">
        <f>ROUND(H72*$I$65,2)</f>
        <v>143.32</v>
      </c>
      <c r="J72" s="130">
        <f>I72</f>
        <v>143.32</v>
      </c>
      <c r="K72" s="109"/>
      <c r="L72" s="109"/>
    </row>
    <row r="73" spans="1:12" ht="15.75" customHeight="1">
      <c r="A73" s="351" t="s">
        <v>438</v>
      </c>
      <c r="B73" s="351"/>
      <c r="C73" s="351"/>
      <c r="D73" s="351"/>
      <c r="E73" s="351"/>
      <c r="F73" s="351"/>
      <c r="G73" s="351"/>
      <c r="H73" s="98">
        <f>SUM(H68:H72)</f>
        <v>6.9400000000000003E-2</v>
      </c>
      <c r="I73" s="129">
        <f>SUM(I68:I72)</f>
        <v>248.65</v>
      </c>
      <c r="J73" s="134"/>
      <c r="K73" s="179"/>
      <c r="L73" s="109"/>
    </row>
    <row r="74" spans="1:12" ht="15.75" customHeight="1">
      <c r="A74" s="371" t="s">
        <v>439</v>
      </c>
      <c r="B74" s="371"/>
      <c r="C74" s="371"/>
      <c r="D74" s="371"/>
      <c r="E74" s="371"/>
      <c r="F74" s="371"/>
      <c r="G74" s="358" t="s">
        <v>386</v>
      </c>
      <c r="H74" s="358"/>
      <c r="I74" s="135">
        <f>I29</f>
        <v>1878.06</v>
      </c>
      <c r="J74" s="134"/>
      <c r="K74" s="179"/>
      <c r="L74" s="109"/>
    </row>
    <row r="75" spans="1:12" ht="15.75" customHeight="1">
      <c r="A75" s="371"/>
      <c r="B75" s="371"/>
      <c r="C75" s="371"/>
      <c r="D75" s="371"/>
      <c r="E75" s="371"/>
      <c r="F75" s="371"/>
      <c r="G75" s="358" t="s">
        <v>430</v>
      </c>
      <c r="H75" s="358"/>
      <c r="I75" s="135">
        <f>I62</f>
        <v>1704.8879999999999</v>
      </c>
      <c r="J75" s="134"/>
      <c r="K75" s="179"/>
      <c r="L75" s="109"/>
    </row>
    <row r="76" spans="1:12" ht="15.75" customHeight="1">
      <c r="A76" s="371"/>
      <c r="B76" s="371"/>
      <c r="C76" s="371"/>
      <c r="D76" s="371"/>
      <c r="E76" s="371"/>
      <c r="F76" s="371"/>
      <c r="G76" s="358" t="s">
        <v>440</v>
      </c>
      <c r="H76" s="358"/>
      <c r="I76" s="135">
        <f>I73</f>
        <v>248.65</v>
      </c>
      <c r="J76" s="134"/>
      <c r="K76" s="179"/>
      <c r="L76" s="109"/>
    </row>
    <row r="77" spans="1:12" ht="15.75" customHeight="1">
      <c r="A77" s="371"/>
      <c r="B77" s="371"/>
      <c r="C77" s="371"/>
      <c r="D77" s="371"/>
      <c r="E77" s="371"/>
      <c r="F77" s="371"/>
      <c r="G77" s="359" t="s">
        <v>389</v>
      </c>
      <c r="H77" s="359"/>
      <c r="I77" s="140">
        <f>SUM(I74:I76)</f>
        <v>3831.598</v>
      </c>
      <c r="J77" s="134"/>
      <c r="K77" s="179"/>
      <c r="L77" s="109"/>
    </row>
    <row r="78" spans="1:12" ht="15.75" customHeight="1">
      <c r="A78" s="351" t="s">
        <v>441</v>
      </c>
      <c r="B78" s="351"/>
      <c r="C78" s="351"/>
      <c r="D78" s="351"/>
      <c r="E78" s="351"/>
      <c r="F78" s="351"/>
      <c r="G78" s="351"/>
      <c r="H78" s="351"/>
      <c r="I78" s="351"/>
      <c r="J78" s="131"/>
      <c r="K78" s="179"/>
      <c r="L78" s="109"/>
    </row>
    <row r="79" spans="1:12" ht="15.75" customHeight="1">
      <c r="A79" s="351" t="s">
        <v>442</v>
      </c>
      <c r="B79" s="351"/>
      <c r="C79" s="351"/>
      <c r="D79" s="351"/>
      <c r="E79" s="351"/>
      <c r="F79" s="351"/>
      <c r="G79" s="351"/>
      <c r="H79" s="96" t="s">
        <v>362</v>
      </c>
      <c r="I79" s="96" t="s">
        <v>363</v>
      </c>
      <c r="J79" s="134"/>
      <c r="K79" s="179"/>
      <c r="L79" s="180"/>
    </row>
    <row r="80" spans="1:12" ht="15.75" customHeight="1">
      <c r="A80" s="95" t="s">
        <v>319</v>
      </c>
      <c r="B80" s="352" t="s">
        <v>443</v>
      </c>
      <c r="C80" s="352"/>
      <c r="D80" s="352"/>
      <c r="E80" s="352"/>
      <c r="F80" s="352"/>
      <c r="G80" s="352"/>
      <c r="H80" s="97">
        <f>ROUND(((1+1/3)/12)/12,4)</f>
        <v>9.2999999999999992E-3</v>
      </c>
      <c r="I80" s="133">
        <f t="shared" ref="I80:I85" si="3">ROUND(H80*$I$77,2)</f>
        <v>35.630000000000003</v>
      </c>
      <c r="J80" s="134"/>
      <c r="K80" s="179"/>
      <c r="L80" s="109"/>
    </row>
    <row r="81" spans="1:12" ht="15.75" customHeight="1">
      <c r="A81" s="95" t="s">
        <v>322</v>
      </c>
      <c r="B81" s="352" t="s">
        <v>444</v>
      </c>
      <c r="C81" s="352"/>
      <c r="D81" s="352"/>
      <c r="E81" s="352"/>
      <c r="F81" s="352"/>
      <c r="G81" s="352"/>
      <c r="H81" s="97">
        <f>ROUND(2/30/12,4)</f>
        <v>5.5999999999999999E-3</v>
      </c>
      <c r="I81" s="133">
        <f t="shared" si="3"/>
        <v>21.46</v>
      </c>
      <c r="J81" s="134"/>
      <c r="K81" s="109"/>
      <c r="L81" s="109"/>
    </row>
    <row r="82" spans="1:12" ht="15.75" customHeight="1">
      <c r="A82" s="95" t="s">
        <v>326</v>
      </c>
      <c r="B82" s="352" t="s">
        <v>445</v>
      </c>
      <c r="C82" s="352"/>
      <c r="D82" s="352"/>
      <c r="E82" s="352"/>
      <c r="F82" s="352"/>
      <c r="G82" s="352"/>
      <c r="H82" s="97">
        <f>ROUND(((5/30)/12)*2%,4)</f>
        <v>2.9999999999999997E-4</v>
      </c>
      <c r="I82" s="133">
        <f t="shared" si="3"/>
        <v>1.1499999999999999</v>
      </c>
      <c r="J82" s="134"/>
      <c r="K82" s="109"/>
      <c r="L82" s="109"/>
    </row>
    <row r="83" spans="1:12" ht="15.75" customHeight="1">
      <c r="A83" s="95" t="s">
        <v>330</v>
      </c>
      <c r="B83" s="352" t="s">
        <v>446</v>
      </c>
      <c r="C83" s="352"/>
      <c r="D83" s="352"/>
      <c r="E83" s="352"/>
      <c r="F83" s="352"/>
      <c r="G83" s="352"/>
      <c r="H83" s="97">
        <f>ROUND(((15/30)/12)*8%,4)</f>
        <v>3.3E-3</v>
      </c>
      <c r="I83" s="133">
        <f t="shared" si="3"/>
        <v>12.64</v>
      </c>
      <c r="J83" s="134"/>
      <c r="K83" s="109"/>
      <c r="L83" s="109"/>
    </row>
    <row r="84" spans="1:12" ht="15.75" customHeight="1">
      <c r="A84" s="95" t="s">
        <v>372</v>
      </c>
      <c r="B84" s="352" t="s">
        <v>447</v>
      </c>
      <c r="C84" s="352"/>
      <c r="D84" s="352"/>
      <c r="E84" s="352"/>
      <c r="F84" s="352"/>
      <c r="G84" s="352"/>
      <c r="H84" s="97">
        <f>ROUND(((1+1/3)/12*4/12)*2%,4)</f>
        <v>6.9999999999999999E-4</v>
      </c>
      <c r="I84" s="133">
        <f t="shared" si="3"/>
        <v>2.68</v>
      </c>
      <c r="J84" s="134"/>
      <c r="K84" s="109"/>
      <c r="L84" s="109"/>
    </row>
    <row r="85" spans="1:12" ht="15.75" customHeight="1">
      <c r="A85" s="95" t="s">
        <v>374</v>
      </c>
      <c r="B85" s="352" t="s">
        <v>448</v>
      </c>
      <c r="C85" s="352"/>
      <c r="D85" s="352"/>
      <c r="E85" s="352"/>
      <c r="F85" s="352"/>
      <c r="G85" s="352"/>
      <c r="H85" s="97">
        <v>0</v>
      </c>
      <c r="I85" s="133">
        <f t="shared" si="3"/>
        <v>0</v>
      </c>
      <c r="J85" s="134"/>
      <c r="K85" s="109"/>
      <c r="L85" s="109"/>
    </row>
    <row r="86" spans="1:12" ht="15.75" customHeight="1">
      <c r="A86" s="351" t="s">
        <v>449</v>
      </c>
      <c r="B86" s="351"/>
      <c r="C86" s="351"/>
      <c r="D86" s="351"/>
      <c r="E86" s="351"/>
      <c r="F86" s="351"/>
      <c r="G86" s="351"/>
      <c r="H86" s="98">
        <f>SUM(H80:H85)</f>
        <v>1.9199999999999998E-2</v>
      </c>
      <c r="I86" s="129">
        <f>SUM(I80:I85)</f>
        <v>73.56</v>
      </c>
      <c r="J86" s="134"/>
      <c r="K86" s="109"/>
      <c r="L86" s="181"/>
    </row>
    <row r="87" spans="1:12" ht="7.15" customHeight="1">
      <c r="A87" s="362"/>
      <c r="B87" s="362"/>
      <c r="C87" s="362"/>
      <c r="D87" s="362"/>
      <c r="E87" s="362"/>
      <c r="F87" s="362"/>
      <c r="G87" s="362"/>
      <c r="H87" s="362"/>
      <c r="I87" s="362"/>
      <c r="J87" s="134"/>
      <c r="K87" s="182"/>
      <c r="L87" s="109"/>
    </row>
    <row r="88" spans="1:12" ht="15.75" customHeight="1">
      <c r="A88" s="351" t="s">
        <v>450</v>
      </c>
      <c r="B88" s="351"/>
      <c r="C88" s="351"/>
      <c r="D88" s="351"/>
      <c r="E88" s="351"/>
      <c r="F88" s="351"/>
      <c r="G88" s="351"/>
      <c r="H88" s="96" t="s">
        <v>362</v>
      </c>
      <c r="I88" s="96" t="s">
        <v>363</v>
      </c>
      <c r="J88" s="134"/>
      <c r="K88" s="109"/>
      <c r="L88" s="109"/>
    </row>
    <row r="89" spans="1:12" ht="15.75" customHeight="1">
      <c r="A89" s="95" t="s">
        <v>319</v>
      </c>
      <c r="B89" s="352" t="s">
        <v>451</v>
      </c>
      <c r="C89" s="352"/>
      <c r="D89" s="352"/>
      <c r="E89" s="352"/>
      <c r="F89" s="352"/>
      <c r="G89" s="352"/>
      <c r="H89" s="97">
        <v>0</v>
      </c>
      <c r="I89" s="133">
        <f>I29*H89</f>
        <v>0</v>
      </c>
      <c r="J89" s="134"/>
      <c r="K89" s="109"/>
      <c r="L89" s="109"/>
    </row>
    <row r="90" spans="1:12" ht="15.75" customHeight="1">
      <c r="A90" s="351" t="s">
        <v>452</v>
      </c>
      <c r="B90" s="351"/>
      <c r="C90" s="351"/>
      <c r="D90" s="351"/>
      <c r="E90" s="351"/>
      <c r="F90" s="351"/>
      <c r="G90" s="351"/>
      <c r="H90" s="98">
        <f>H89</f>
        <v>0</v>
      </c>
      <c r="I90" s="129">
        <f>I89</f>
        <v>0</v>
      </c>
      <c r="J90" s="134"/>
      <c r="K90" s="183"/>
      <c r="L90" s="109"/>
    </row>
    <row r="91" spans="1:12" ht="7.9" customHeight="1">
      <c r="A91" s="362"/>
      <c r="B91" s="362"/>
      <c r="C91" s="362"/>
      <c r="D91" s="362"/>
      <c r="E91" s="362"/>
      <c r="F91" s="362"/>
      <c r="G91" s="362"/>
      <c r="H91" s="362"/>
      <c r="I91" s="362"/>
      <c r="J91" s="134"/>
      <c r="K91" s="109"/>
      <c r="L91" s="109"/>
    </row>
    <row r="92" spans="1:12" ht="15.75" customHeight="1">
      <c r="A92" s="351" t="s">
        <v>453</v>
      </c>
      <c r="B92" s="351"/>
      <c r="C92" s="351"/>
      <c r="D92" s="351"/>
      <c r="E92" s="351"/>
      <c r="F92" s="351"/>
      <c r="G92" s="351"/>
      <c r="H92" s="351"/>
      <c r="I92" s="351"/>
      <c r="J92" s="134"/>
      <c r="K92" s="109"/>
      <c r="L92" s="109"/>
    </row>
    <row r="93" spans="1:12" ht="15.75" customHeight="1">
      <c r="A93" s="351" t="s">
        <v>454</v>
      </c>
      <c r="B93" s="351"/>
      <c r="C93" s="351"/>
      <c r="D93" s="351"/>
      <c r="E93" s="351"/>
      <c r="F93" s="351"/>
      <c r="G93" s="351"/>
      <c r="H93" s="351"/>
      <c r="I93" s="96" t="s">
        <v>363</v>
      </c>
      <c r="J93" s="134"/>
      <c r="K93" s="109"/>
      <c r="L93" s="109"/>
    </row>
    <row r="94" spans="1:12" ht="15.75" customHeight="1">
      <c r="A94" s="95" t="s">
        <v>455</v>
      </c>
      <c r="B94" s="352" t="s">
        <v>456</v>
      </c>
      <c r="C94" s="352"/>
      <c r="D94" s="352"/>
      <c r="E94" s="352"/>
      <c r="F94" s="352"/>
      <c r="G94" s="352"/>
      <c r="H94" s="352"/>
      <c r="I94" s="133">
        <f>I86</f>
        <v>73.56</v>
      </c>
      <c r="J94" s="134"/>
      <c r="K94" s="109"/>
      <c r="L94" s="109"/>
    </row>
    <row r="95" spans="1:12" ht="15.75" customHeight="1">
      <c r="A95" s="95" t="s">
        <v>457</v>
      </c>
      <c r="B95" s="352" t="s">
        <v>458</v>
      </c>
      <c r="C95" s="352"/>
      <c r="D95" s="352"/>
      <c r="E95" s="352"/>
      <c r="F95" s="352"/>
      <c r="G95" s="352"/>
      <c r="H95" s="352"/>
      <c r="I95" s="133">
        <f>I90</f>
        <v>0</v>
      </c>
      <c r="J95" s="134"/>
      <c r="K95" s="109"/>
      <c r="L95" s="109"/>
    </row>
    <row r="96" spans="1:12" ht="15.75" customHeight="1">
      <c r="A96" s="351" t="s">
        <v>459</v>
      </c>
      <c r="B96" s="351"/>
      <c r="C96" s="351"/>
      <c r="D96" s="351"/>
      <c r="E96" s="351"/>
      <c r="F96" s="351"/>
      <c r="G96" s="351"/>
      <c r="H96" s="351"/>
      <c r="I96" s="129">
        <f>SUM(I94:I95)</f>
        <v>73.56</v>
      </c>
      <c r="J96" s="134"/>
      <c r="K96" s="109"/>
      <c r="L96" s="109"/>
    </row>
    <row r="97" spans="1:12" ht="7.9" customHeight="1">
      <c r="A97" s="362"/>
      <c r="B97" s="362"/>
      <c r="C97" s="362"/>
      <c r="D97" s="362"/>
      <c r="E97" s="362"/>
      <c r="F97" s="362"/>
      <c r="G97" s="362"/>
      <c r="H97" s="362"/>
      <c r="I97" s="362"/>
      <c r="J97" s="134"/>
      <c r="K97" s="109"/>
      <c r="L97" s="109"/>
    </row>
    <row r="98" spans="1:12" ht="15.75" customHeight="1">
      <c r="A98" s="351" t="s">
        <v>460</v>
      </c>
      <c r="B98" s="351"/>
      <c r="C98" s="351"/>
      <c r="D98" s="351"/>
      <c r="E98" s="351"/>
      <c r="F98" s="351"/>
      <c r="G98" s="351"/>
      <c r="H98" s="351"/>
      <c r="I98" s="351"/>
      <c r="J98" s="134"/>
      <c r="K98" s="109"/>
      <c r="L98" s="109"/>
    </row>
    <row r="99" spans="1:12" ht="15.75" customHeight="1">
      <c r="A99" s="96">
        <v>5</v>
      </c>
      <c r="B99" s="351" t="s">
        <v>461</v>
      </c>
      <c r="C99" s="351"/>
      <c r="D99" s="351"/>
      <c r="E99" s="351"/>
      <c r="F99" s="351"/>
      <c r="G99" s="351"/>
      <c r="H99" s="96"/>
      <c r="I99" s="96" t="s">
        <v>363</v>
      </c>
      <c r="J99" s="134"/>
      <c r="K99" s="109"/>
      <c r="L99" s="109"/>
    </row>
    <row r="100" spans="1:12" ht="15.75" customHeight="1">
      <c r="A100" s="163" t="s">
        <v>319</v>
      </c>
      <c r="B100" s="357" t="s">
        <v>462</v>
      </c>
      <c r="C100" s="357"/>
      <c r="D100" s="357"/>
      <c r="E100" s="357"/>
      <c r="F100" s="357"/>
      <c r="G100" s="357"/>
      <c r="H100" s="164" t="s">
        <v>303</v>
      </c>
      <c r="I100" s="133">
        <v>0</v>
      </c>
      <c r="J100" s="134"/>
      <c r="K100" s="109"/>
      <c r="L100" s="109"/>
    </row>
    <row r="101" spans="1:12" ht="15.75" customHeight="1">
      <c r="A101" s="163" t="s">
        <v>322</v>
      </c>
      <c r="B101" s="357" t="s">
        <v>463</v>
      </c>
      <c r="C101" s="357"/>
      <c r="D101" s="357"/>
      <c r="E101" s="357"/>
      <c r="F101" s="357"/>
      <c r="G101" s="357"/>
      <c r="H101" s="164" t="s">
        <v>303</v>
      </c>
      <c r="I101" s="403">
        <v>271.64</v>
      </c>
      <c r="J101" s="134"/>
      <c r="K101" s="109"/>
      <c r="L101" s="109"/>
    </row>
    <row r="102" spans="1:12" ht="15.75" customHeight="1">
      <c r="A102" s="163" t="s">
        <v>326</v>
      </c>
      <c r="B102" s="357" t="s">
        <v>464</v>
      </c>
      <c r="C102" s="357"/>
      <c r="D102" s="357"/>
      <c r="E102" s="357"/>
      <c r="F102" s="357"/>
      <c r="G102" s="357"/>
      <c r="H102" s="164" t="s">
        <v>303</v>
      </c>
      <c r="I102" s="403">
        <v>47.17</v>
      </c>
      <c r="J102" s="134"/>
      <c r="K102" s="109"/>
      <c r="L102" s="109"/>
    </row>
    <row r="103" spans="1:12" ht="15.75" customHeight="1">
      <c r="A103" s="163" t="s">
        <v>330</v>
      </c>
      <c r="B103" s="357" t="s">
        <v>465</v>
      </c>
      <c r="C103" s="357"/>
      <c r="D103" s="357"/>
      <c r="E103" s="357"/>
      <c r="F103" s="357"/>
      <c r="G103" s="357"/>
      <c r="H103" s="165" t="s">
        <v>303</v>
      </c>
      <c r="I103" s="403">
        <v>44.88</v>
      </c>
      <c r="J103" s="134"/>
      <c r="K103" s="109"/>
      <c r="L103" s="109"/>
    </row>
    <row r="104" spans="1:12" ht="15.75" customHeight="1">
      <c r="A104" s="351" t="s">
        <v>466</v>
      </c>
      <c r="B104" s="351"/>
      <c r="C104" s="351"/>
      <c r="D104" s="351"/>
      <c r="E104" s="351"/>
      <c r="F104" s="351"/>
      <c r="G104" s="351"/>
      <c r="H104" s="98" t="s">
        <v>303</v>
      </c>
      <c r="I104" s="129">
        <f>SUM(I100:I103)</f>
        <v>363.69</v>
      </c>
      <c r="J104" s="134"/>
      <c r="K104" s="109"/>
      <c r="L104" s="109"/>
    </row>
    <row r="105" spans="1:12" ht="15.75" customHeight="1">
      <c r="A105" s="371" t="s">
        <v>467</v>
      </c>
      <c r="B105" s="371"/>
      <c r="C105" s="371"/>
      <c r="D105" s="371"/>
      <c r="E105" s="371"/>
      <c r="F105" s="371"/>
      <c r="G105" s="358" t="s">
        <v>386</v>
      </c>
      <c r="H105" s="358"/>
      <c r="I105" s="135">
        <f>I29</f>
        <v>1878.06</v>
      </c>
      <c r="J105" s="134"/>
      <c r="K105" s="109"/>
      <c r="L105" s="109"/>
    </row>
    <row r="106" spans="1:12" ht="15.75" customHeight="1">
      <c r="A106" s="371"/>
      <c r="B106" s="371"/>
      <c r="C106" s="371"/>
      <c r="D106" s="371"/>
      <c r="E106" s="371"/>
      <c r="F106" s="371"/>
      <c r="G106" s="358" t="s">
        <v>430</v>
      </c>
      <c r="H106" s="358"/>
      <c r="I106" s="135">
        <f>I62</f>
        <v>1704.8879999999999</v>
      </c>
      <c r="J106" s="134"/>
      <c r="K106" s="109"/>
      <c r="L106" s="109"/>
    </row>
    <row r="107" spans="1:12" ht="15.75" customHeight="1">
      <c r="A107" s="371"/>
      <c r="B107" s="371"/>
      <c r="C107" s="371"/>
      <c r="D107" s="371"/>
      <c r="E107" s="371"/>
      <c r="F107" s="371"/>
      <c r="G107" s="358" t="s">
        <v>440</v>
      </c>
      <c r="H107" s="358"/>
      <c r="I107" s="135">
        <f>I73</f>
        <v>248.65</v>
      </c>
      <c r="J107" s="134"/>
      <c r="K107" s="109"/>
      <c r="L107" s="109"/>
    </row>
    <row r="108" spans="1:12" ht="15.75" customHeight="1">
      <c r="A108" s="371"/>
      <c r="B108" s="371"/>
      <c r="C108" s="371"/>
      <c r="D108" s="371"/>
      <c r="E108" s="371"/>
      <c r="F108" s="371"/>
      <c r="G108" s="358" t="s">
        <v>468</v>
      </c>
      <c r="H108" s="358"/>
      <c r="I108" s="135">
        <f>I96</f>
        <v>73.56</v>
      </c>
      <c r="J108" s="134"/>
      <c r="K108" s="141"/>
      <c r="L108" s="141"/>
    </row>
    <row r="109" spans="1:12" ht="15.75" customHeight="1">
      <c r="A109" s="371"/>
      <c r="B109" s="371"/>
      <c r="C109" s="371"/>
      <c r="D109" s="371"/>
      <c r="E109" s="371"/>
      <c r="F109" s="371"/>
      <c r="G109" s="358" t="s">
        <v>469</v>
      </c>
      <c r="H109" s="358"/>
      <c r="I109" s="135">
        <f>I104</f>
        <v>363.69</v>
      </c>
      <c r="J109" s="134"/>
      <c r="K109" s="141"/>
      <c r="L109" s="141"/>
    </row>
    <row r="110" spans="1:12" ht="15.75" customHeight="1">
      <c r="A110" s="371"/>
      <c r="B110" s="371"/>
      <c r="C110" s="371"/>
      <c r="D110" s="371"/>
      <c r="E110" s="371"/>
      <c r="F110" s="371"/>
      <c r="G110" s="359" t="s">
        <v>389</v>
      </c>
      <c r="H110" s="359"/>
      <c r="I110" s="140">
        <f>SUM(I105:I109)</f>
        <v>4268.848</v>
      </c>
      <c r="J110" s="134"/>
      <c r="K110" s="109"/>
      <c r="L110" s="109"/>
    </row>
    <row r="111" spans="1:12" ht="15.75" customHeight="1">
      <c r="A111" s="351" t="s">
        <v>470</v>
      </c>
      <c r="B111" s="351"/>
      <c r="C111" s="351"/>
      <c r="D111" s="351"/>
      <c r="E111" s="351"/>
      <c r="F111" s="351"/>
      <c r="G111" s="351"/>
      <c r="H111" s="351"/>
      <c r="I111" s="351"/>
      <c r="J111" s="134"/>
      <c r="K111" s="109"/>
      <c r="L111" s="109"/>
    </row>
    <row r="112" spans="1:12" ht="15.75" customHeight="1">
      <c r="A112" s="96">
        <v>6</v>
      </c>
      <c r="B112" s="351" t="s">
        <v>471</v>
      </c>
      <c r="C112" s="351"/>
      <c r="D112" s="351"/>
      <c r="E112" s="351"/>
      <c r="F112" s="351"/>
      <c r="G112" s="351"/>
      <c r="H112" s="96" t="s">
        <v>362</v>
      </c>
      <c r="I112" s="96" t="s">
        <v>363</v>
      </c>
      <c r="J112" s="134"/>
      <c r="K112" s="109"/>
      <c r="L112" s="109"/>
    </row>
    <row r="113" spans="1:12" ht="15.75" customHeight="1">
      <c r="A113" s="95" t="s">
        <v>319</v>
      </c>
      <c r="B113" s="352" t="s">
        <v>472</v>
      </c>
      <c r="C113" s="352"/>
      <c r="D113" s="352"/>
      <c r="E113" s="352"/>
      <c r="F113" s="352"/>
      <c r="G113" s="352"/>
      <c r="H113" s="404">
        <v>1.67E-2</v>
      </c>
      <c r="I113" s="133">
        <f>ROUND(H113*I110,2)</f>
        <v>71.290000000000006</v>
      </c>
      <c r="J113" s="134"/>
      <c r="K113" s="109"/>
      <c r="L113" s="109"/>
    </row>
    <row r="114" spans="1:12" ht="15.75" customHeight="1">
      <c r="A114" s="95" t="s">
        <v>322</v>
      </c>
      <c r="B114" s="352" t="s">
        <v>473</v>
      </c>
      <c r="C114" s="352"/>
      <c r="D114" s="352"/>
      <c r="E114" s="352"/>
      <c r="F114" s="352"/>
      <c r="G114" s="352"/>
      <c r="H114" s="404">
        <v>1.67E-2</v>
      </c>
      <c r="I114" s="133">
        <f>ROUND(H114*(I110+I113),2)</f>
        <v>72.48</v>
      </c>
      <c r="J114" s="134"/>
      <c r="K114" s="109"/>
      <c r="L114" s="109"/>
    </row>
    <row r="115" spans="1:12" ht="15.75" customHeight="1">
      <c r="A115" s="95" t="s">
        <v>326</v>
      </c>
      <c r="B115" s="364" t="s">
        <v>474</v>
      </c>
      <c r="C115" s="364"/>
      <c r="D115" s="364"/>
      <c r="E115" s="364"/>
      <c r="F115" s="364"/>
      <c r="G115" s="364"/>
      <c r="H115" s="97"/>
      <c r="I115" s="184"/>
      <c r="J115" s="134"/>
      <c r="K115" s="109"/>
      <c r="L115" s="109"/>
    </row>
    <row r="116" spans="1:12" ht="15.75" customHeight="1">
      <c r="A116" s="95" t="s">
        <v>475</v>
      </c>
      <c r="B116" s="352" t="s">
        <v>476</v>
      </c>
      <c r="C116" s="352"/>
      <c r="D116" s="352"/>
      <c r="E116" s="352"/>
      <c r="F116" s="352"/>
      <c r="G116" s="352"/>
      <c r="H116" s="404">
        <v>5.7999999999999996E-3</v>
      </c>
      <c r="I116" s="133">
        <f>ROUND($I$126*H116,2)</f>
        <v>27.89</v>
      </c>
      <c r="J116" s="134"/>
      <c r="K116" s="109"/>
      <c r="L116" s="109"/>
    </row>
    <row r="117" spans="1:12" ht="15.75" customHeight="1">
      <c r="A117" s="95" t="s">
        <v>477</v>
      </c>
      <c r="B117" s="352" t="s">
        <v>376</v>
      </c>
      <c r="C117" s="352"/>
      <c r="D117" s="352"/>
      <c r="E117" s="352"/>
      <c r="F117" s="352"/>
      <c r="G117" s="352"/>
      <c r="H117" s="404">
        <v>2.6599999999999999E-2</v>
      </c>
      <c r="I117" s="133">
        <f>ROUND($I$126*H117,2)</f>
        <v>127.92</v>
      </c>
      <c r="J117" s="134"/>
      <c r="K117" s="109"/>
      <c r="L117" s="109"/>
    </row>
    <row r="118" spans="1:12" ht="15.75" customHeight="1">
      <c r="A118" s="95" t="s">
        <v>478</v>
      </c>
      <c r="B118" s="352" t="s">
        <v>479</v>
      </c>
      <c r="C118" s="352"/>
      <c r="D118" s="352"/>
      <c r="E118" s="352"/>
      <c r="F118" s="352"/>
      <c r="G118" s="352"/>
      <c r="H118" s="167">
        <v>0.05</v>
      </c>
      <c r="I118" s="133">
        <f>ROUND($I$126*H118,2)</f>
        <v>240.44</v>
      </c>
      <c r="J118" s="134"/>
      <c r="K118" s="109"/>
      <c r="L118" s="109"/>
    </row>
    <row r="119" spans="1:12" ht="15.75" customHeight="1">
      <c r="A119" s="351" t="s">
        <v>480</v>
      </c>
      <c r="B119" s="351"/>
      <c r="C119" s="351"/>
      <c r="D119" s="351"/>
      <c r="E119" s="351"/>
      <c r="F119" s="351"/>
      <c r="G119" s="351"/>
      <c r="H119" s="168">
        <f>SUM(H113:H118)</f>
        <v>0.1158</v>
      </c>
      <c r="I119" s="129">
        <f>SUM(I113:I118)</f>
        <v>540.02</v>
      </c>
      <c r="J119" s="134"/>
      <c r="K119" s="109"/>
      <c r="L119" s="109"/>
    </row>
    <row r="120" spans="1:12" ht="6.6" customHeight="1">
      <c r="A120" s="353"/>
      <c r="B120" s="353"/>
      <c r="C120" s="353"/>
      <c r="D120" s="353"/>
      <c r="E120" s="353"/>
      <c r="F120" s="353"/>
      <c r="G120" s="353"/>
      <c r="H120" s="353"/>
      <c r="I120" s="353"/>
      <c r="J120" s="134"/>
      <c r="K120" s="109"/>
      <c r="L120" s="109"/>
    </row>
    <row r="121" spans="1:12" ht="15.75" customHeight="1">
      <c r="A121" s="172" t="s">
        <v>481</v>
      </c>
      <c r="B121" s="365" t="s">
        <v>482</v>
      </c>
      <c r="C121" s="365"/>
      <c r="D121" s="365"/>
      <c r="E121" s="365"/>
      <c r="F121" s="365"/>
      <c r="G121" s="365"/>
      <c r="H121" s="174">
        <f>SUM(H116+H117+H118)</f>
        <v>8.2400000000000001E-2</v>
      </c>
      <c r="I121" s="186"/>
      <c r="J121" s="134"/>
      <c r="K121" s="109"/>
      <c r="L121" s="109"/>
    </row>
    <row r="122" spans="1:12" ht="15.75" customHeight="1">
      <c r="A122" s="172"/>
      <c r="B122" s="365">
        <v>100</v>
      </c>
      <c r="C122" s="365"/>
      <c r="D122" s="365"/>
      <c r="E122" s="365"/>
      <c r="F122" s="365"/>
      <c r="G122" s="365"/>
      <c r="H122" s="174"/>
      <c r="I122" s="186"/>
      <c r="J122" s="134"/>
      <c r="K122" s="109"/>
      <c r="L122" s="109"/>
    </row>
    <row r="123" spans="1:12" ht="15.75" customHeight="1">
      <c r="A123" s="175"/>
      <c r="B123" s="176"/>
      <c r="C123" s="176"/>
      <c r="D123" s="176"/>
      <c r="E123" s="176"/>
      <c r="F123" s="176"/>
      <c r="G123" s="176"/>
      <c r="H123" s="176"/>
      <c r="I123" s="187"/>
      <c r="J123" s="134"/>
      <c r="K123" s="141"/>
      <c r="L123" s="141"/>
    </row>
    <row r="124" spans="1:12" ht="15.75" customHeight="1">
      <c r="A124" s="172" t="s">
        <v>483</v>
      </c>
      <c r="B124" s="365" t="s">
        <v>484</v>
      </c>
      <c r="C124" s="365"/>
      <c r="D124" s="365"/>
      <c r="E124" s="365"/>
      <c r="F124" s="365"/>
      <c r="G124" s="365"/>
      <c r="H124" s="174"/>
      <c r="I124" s="186">
        <f>I110+I113+I114</f>
        <v>4412.6179999999995</v>
      </c>
      <c r="J124" s="134"/>
      <c r="K124" s="109"/>
      <c r="L124" s="109"/>
    </row>
    <row r="125" spans="1:12" ht="15.75" customHeight="1">
      <c r="A125" s="177"/>
      <c r="B125" s="178"/>
      <c r="C125" s="178"/>
      <c r="D125" s="178"/>
      <c r="E125" s="178"/>
      <c r="F125" s="178"/>
      <c r="G125" s="178"/>
      <c r="H125" s="178"/>
      <c r="I125" s="188"/>
      <c r="J125" s="134"/>
      <c r="K125" s="109"/>
      <c r="L125" s="109"/>
    </row>
    <row r="126" spans="1:12" ht="15.75" customHeight="1">
      <c r="A126" s="172" t="s">
        <v>485</v>
      </c>
      <c r="B126" s="365" t="s">
        <v>486</v>
      </c>
      <c r="C126" s="365"/>
      <c r="D126" s="365"/>
      <c r="E126" s="365"/>
      <c r="F126" s="365"/>
      <c r="G126" s="365"/>
      <c r="H126" s="174"/>
      <c r="I126" s="186">
        <f>ROUND(I124/(1-H121),2)</f>
        <v>4808.87</v>
      </c>
      <c r="J126" s="134"/>
      <c r="K126" s="109"/>
      <c r="L126" s="109"/>
    </row>
    <row r="127" spans="1:12" ht="15.75" customHeight="1">
      <c r="A127" s="172"/>
      <c r="B127" s="173"/>
      <c r="C127" s="173"/>
      <c r="D127" s="173"/>
      <c r="E127" s="173"/>
      <c r="F127" s="173"/>
      <c r="G127" s="173"/>
      <c r="H127" s="174"/>
      <c r="I127" s="186"/>
      <c r="J127" s="134"/>
      <c r="K127" s="109"/>
      <c r="L127" s="109"/>
    </row>
    <row r="128" spans="1:12" ht="15.75" customHeight="1">
      <c r="A128" s="172"/>
      <c r="B128" s="365" t="s">
        <v>487</v>
      </c>
      <c r="C128" s="365"/>
      <c r="D128" s="365"/>
      <c r="E128" s="365"/>
      <c r="F128" s="365"/>
      <c r="G128" s="365"/>
      <c r="H128" s="174"/>
      <c r="I128" s="186">
        <f>I126-I124</f>
        <v>396.25200000000041</v>
      </c>
      <c r="J128" s="134"/>
      <c r="K128" s="109"/>
      <c r="L128" s="109"/>
    </row>
    <row r="129" spans="1:12" ht="15.75" customHeight="1">
      <c r="A129" s="351" t="s">
        <v>488</v>
      </c>
      <c r="B129" s="351"/>
      <c r="C129" s="351"/>
      <c r="D129" s="351"/>
      <c r="E129" s="351"/>
      <c r="F129" s="351"/>
      <c r="G129" s="351"/>
      <c r="H129" s="351"/>
      <c r="I129" s="351"/>
      <c r="J129" s="134"/>
      <c r="K129" s="109"/>
      <c r="L129" s="109"/>
    </row>
    <row r="130" spans="1:12" ht="15.75" customHeight="1">
      <c r="A130" s="351" t="s">
        <v>489</v>
      </c>
      <c r="B130" s="351"/>
      <c r="C130" s="351"/>
      <c r="D130" s="351"/>
      <c r="E130" s="351"/>
      <c r="F130" s="351"/>
      <c r="G130" s="351"/>
      <c r="H130" s="351"/>
      <c r="I130" s="96" t="s">
        <v>363</v>
      </c>
      <c r="J130" s="134"/>
      <c r="K130" s="141"/>
      <c r="L130" s="141"/>
    </row>
    <row r="131" spans="1:12" ht="15.75" customHeight="1">
      <c r="A131" s="63" t="s">
        <v>319</v>
      </c>
      <c r="B131" s="352" t="str">
        <f>A21</f>
        <v>MÓDULO 1 - COMPOSIÇÃO DA REMUNERAÇÃO</v>
      </c>
      <c r="C131" s="352"/>
      <c r="D131" s="352"/>
      <c r="E131" s="352"/>
      <c r="F131" s="352"/>
      <c r="G131" s="352"/>
      <c r="H131" s="352"/>
      <c r="I131" s="133">
        <f>I29</f>
        <v>1878.06</v>
      </c>
      <c r="J131" s="134"/>
      <c r="K131" s="141"/>
      <c r="L131" s="141"/>
    </row>
    <row r="132" spans="1:12" ht="15.75" customHeight="1">
      <c r="A132" s="63" t="s">
        <v>322</v>
      </c>
      <c r="B132" s="352" t="str">
        <f>A31</f>
        <v>MÓDULO 2 – ENCARGOS E BENEFÍCIOS ANUAIS, MENSAIS E DIÁRIOS</v>
      </c>
      <c r="C132" s="352"/>
      <c r="D132" s="352"/>
      <c r="E132" s="352"/>
      <c r="F132" s="352"/>
      <c r="G132" s="352"/>
      <c r="H132" s="352"/>
      <c r="I132" s="133">
        <f>I62</f>
        <v>1704.8879999999999</v>
      </c>
      <c r="J132" s="134"/>
      <c r="K132" s="141"/>
      <c r="L132" s="141"/>
    </row>
    <row r="133" spans="1:12" ht="15.75" customHeight="1">
      <c r="A133" s="63" t="s">
        <v>326</v>
      </c>
      <c r="B133" s="352" t="str">
        <f>A66</f>
        <v>MÓDULO 3 – PROVISÃO PARA RESCISÃO</v>
      </c>
      <c r="C133" s="352"/>
      <c r="D133" s="352"/>
      <c r="E133" s="352"/>
      <c r="F133" s="352"/>
      <c r="G133" s="352"/>
      <c r="H133" s="352"/>
      <c r="I133" s="133">
        <f>I73</f>
        <v>248.65</v>
      </c>
      <c r="J133" s="134"/>
      <c r="K133" s="100"/>
      <c r="L133" s="100"/>
    </row>
    <row r="134" spans="1:12" ht="15.75" customHeight="1">
      <c r="A134" s="63" t="s">
        <v>330</v>
      </c>
      <c r="B134" s="352" t="str">
        <f>A78</f>
        <v>MÓDULO 4 – CUSTO DE REPOSIÇÃO DO PROFISSIONAL AUSENTE</v>
      </c>
      <c r="C134" s="352"/>
      <c r="D134" s="352"/>
      <c r="E134" s="352"/>
      <c r="F134" s="352"/>
      <c r="G134" s="352"/>
      <c r="H134" s="352"/>
      <c r="I134" s="133">
        <f>I96</f>
        <v>73.56</v>
      </c>
      <c r="J134" s="190"/>
      <c r="K134" s="100"/>
      <c r="L134" s="100"/>
    </row>
    <row r="135" spans="1:12" ht="15.75" customHeight="1">
      <c r="A135" s="63" t="s">
        <v>372</v>
      </c>
      <c r="B135" s="352" t="str">
        <f>A98</f>
        <v>MÓDULO 5 – INSUMOS DIVERSOS</v>
      </c>
      <c r="C135" s="352"/>
      <c r="D135" s="352"/>
      <c r="E135" s="352"/>
      <c r="F135" s="352"/>
      <c r="G135" s="352"/>
      <c r="H135" s="352"/>
      <c r="I135" s="133">
        <f>I104</f>
        <v>363.69</v>
      </c>
      <c r="J135" s="134"/>
      <c r="K135" s="100"/>
      <c r="L135" s="100"/>
    </row>
    <row r="136" spans="1:12" ht="15.75" customHeight="1">
      <c r="A136" s="351" t="s">
        <v>490</v>
      </c>
      <c r="B136" s="351"/>
      <c r="C136" s="351"/>
      <c r="D136" s="351"/>
      <c r="E136" s="351"/>
      <c r="F136" s="351"/>
      <c r="G136" s="351"/>
      <c r="H136" s="351"/>
      <c r="I136" s="129">
        <f>SUM(I131:I135)</f>
        <v>4268.848</v>
      </c>
      <c r="J136" s="134"/>
    </row>
    <row r="137" spans="1:12" ht="15.75" customHeight="1">
      <c r="A137" s="63" t="s">
        <v>374</v>
      </c>
      <c r="B137" s="352" t="str">
        <f>A111</f>
        <v>MÓDULO 6 – CUSTOS INDIRETOS, TRIBUTOS E LUCRO</v>
      </c>
      <c r="C137" s="352"/>
      <c r="D137" s="352"/>
      <c r="E137" s="352"/>
      <c r="F137" s="352"/>
      <c r="G137" s="352"/>
      <c r="H137" s="352"/>
      <c r="I137" s="133">
        <f>I119</f>
        <v>540.02</v>
      </c>
      <c r="J137" s="191">
        <f>SUM(J28:J136)</f>
        <v>3331.8744000000006</v>
      </c>
    </row>
    <row r="138" spans="1:12" ht="15.75" customHeight="1">
      <c r="A138" s="351" t="s">
        <v>491</v>
      </c>
      <c r="B138" s="351"/>
      <c r="C138" s="351"/>
      <c r="D138" s="351"/>
      <c r="E138" s="351"/>
      <c r="F138" s="351"/>
      <c r="G138" s="351"/>
      <c r="H138" s="351"/>
      <c r="I138" s="129">
        <f>SUM(I136:I137)</f>
        <v>4808.8680000000004</v>
      </c>
    </row>
    <row r="139" spans="1:12" ht="27" customHeight="1">
      <c r="A139" s="373" t="s">
        <v>495</v>
      </c>
      <c r="B139" s="373"/>
      <c r="C139" s="373"/>
      <c r="D139" s="373"/>
      <c r="E139" s="373"/>
      <c r="F139" s="373"/>
      <c r="G139" s="374" t="s">
        <v>496</v>
      </c>
      <c r="H139" s="374"/>
      <c r="I139" s="206" t="s">
        <v>497</v>
      </c>
    </row>
    <row r="140" spans="1:12" ht="15.75" customHeight="1">
      <c r="A140" s="375">
        <f>E13</f>
        <v>3</v>
      </c>
      <c r="B140" s="375"/>
      <c r="C140" s="375"/>
      <c r="D140" s="375"/>
      <c r="E140" s="375"/>
      <c r="F140" s="375"/>
      <c r="G140" s="376">
        <f>I138</f>
        <v>4808.8680000000004</v>
      </c>
      <c r="H140" s="376"/>
      <c r="I140" s="207">
        <f>A140*G140</f>
        <v>14426.604000000001</v>
      </c>
    </row>
    <row r="141" spans="1:12" ht="15.75" customHeight="1"/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4">
    <mergeCell ref="J1:J28"/>
    <mergeCell ref="K50:K52"/>
    <mergeCell ref="L50:L52"/>
    <mergeCell ref="A36:F38"/>
    <mergeCell ref="A63:F65"/>
    <mergeCell ref="A74:F77"/>
    <mergeCell ref="A105:F110"/>
    <mergeCell ref="K60:L69"/>
    <mergeCell ref="B133:H133"/>
    <mergeCell ref="B134:H134"/>
    <mergeCell ref="B135:H135"/>
    <mergeCell ref="A136:H136"/>
    <mergeCell ref="B137:H137"/>
    <mergeCell ref="A138:H138"/>
    <mergeCell ref="A139:F139"/>
    <mergeCell ref="G139:H139"/>
    <mergeCell ref="A140:F140"/>
    <mergeCell ref="G140:H140"/>
    <mergeCell ref="B121:G121"/>
    <mergeCell ref="B122:G122"/>
    <mergeCell ref="B124:G124"/>
    <mergeCell ref="B126:G126"/>
    <mergeCell ref="B128:G128"/>
    <mergeCell ref="A129:I129"/>
    <mergeCell ref="A130:H130"/>
    <mergeCell ref="B131:H131"/>
    <mergeCell ref="B132:H132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3" firstPageNumber="0" orientation="portrait" useFirstPageNumber="1" horizontalDpi="300" verticalDpi="300"/>
  <rowBreaks count="1" manualBreakCount="1">
    <brk id="140" max="16383" man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97"/>
  <sheetViews>
    <sheetView topLeftCell="A15" zoomScale="76" zoomScaleNormal="76" workbookViewId="0">
      <selection activeCell="B114" sqref="B114:G114"/>
    </sheetView>
  </sheetViews>
  <sheetFormatPr defaultColWidth="9" defaultRowHeight="15"/>
  <cols>
    <col min="1" max="1" width="7.42578125" customWidth="1"/>
    <col min="2" max="2" width="12.42578125" customWidth="1"/>
    <col min="3" max="3" width="15" customWidth="1"/>
    <col min="4" max="4" width="15.28515625" customWidth="1"/>
    <col min="5" max="5" width="13.42578125" customWidth="1"/>
    <col min="6" max="6" width="13.5703125" customWidth="1"/>
    <col min="7" max="7" width="14.85546875" customWidth="1"/>
    <col min="8" max="8" width="10.85546875" customWidth="1"/>
    <col min="9" max="9" width="31.28515625" customWidth="1"/>
    <col min="10" max="10" width="25" customWidth="1"/>
    <col min="11" max="11" width="29.28515625" customWidth="1"/>
    <col min="12" max="12" width="21.42578125" customWidth="1"/>
    <col min="13" max="13" width="7.140625" customWidth="1"/>
    <col min="14" max="14" width="10.5703125" customWidth="1"/>
    <col min="15" max="1025" width="14.42578125" customWidth="1"/>
  </cols>
  <sheetData>
    <row r="1" spans="1:12" ht="15.75">
      <c r="A1" s="348" t="s">
        <v>498</v>
      </c>
      <c r="B1" s="348"/>
      <c r="C1" s="348"/>
      <c r="D1" s="348"/>
      <c r="E1" s="348"/>
      <c r="F1" s="348"/>
      <c r="G1" s="348"/>
      <c r="H1" s="348"/>
      <c r="I1" s="348"/>
      <c r="J1" s="366" t="s">
        <v>315</v>
      </c>
      <c r="K1" s="100"/>
      <c r="L1" s="100"/>
    </row>
    <row r="2" spans="1:12" ht="15.75">
      <c r="A2" s="348"/>
      <c r="B2" s="348"/>
      <c r="C2" s="348"/>
      <c r="D2" s="348"/>
      <c r="E2" s="348"/>
      <c r="F2" s="348"/>
      <c r="G2" s="348"/>
      <c r="H2" s="348"/>
      <c r="I2" s="348"/>
      <c r="J2" s="366"/>
      <c r="K2" s="100"/>
      <c r="L2" s="100"/>
    </row>
    <row r="3" spans="1:12" ht="15.75">
      <c r="A3" s="348" t="s">
        <v>316</v>
      </c>
      <c r="B3" s="348"/>
      <c r="C3" s="348"/>
      <c r="D3" s="348"/>
      <c r="E3" s="348"/>
      <c r="F3" s="348"/>
      <c r="G3" s="348"/>
      <c r="H3" s="350" t="s">
        <v>317</v>
      </c>
      <c r="I3" s="350"/>
      <c r="J3" s="366"/>
      <c r="K3" s="100"/>
      <c r="L3" s="100"/>
    </row>
    <row r="4" spans="1:12" ht="15.75">
      <c r="A4" s="348"/>
      <c r="B4" s="348"/>
      <c r="C4" s="348"/>
      <c r="D4" s="348"/>
      <c r="E4" s="348"/>
      <c r="F4" s="348"/>
      <c r="G4" s="348"/>
      <c r="H4" s="348"/>
      <c r="I4" s="348"/>
      <c r="J4" s="366"/>
      <c r="K4" s="101"/>
      <c r="L4" s="101"/>
    </row>
    <row r="5" spans="1:12" ht="15.75">
      <c r="A5" s="351" t="s">
        <v>318</v>
      </c>
      <c r="B5" s="351"/>
      <c r="C5" s="351"/>
      <c r="D5" s="351"/>
      <c r="E5" s="351"/>
      <c r="F5" s="351"/>
      <c r="G5" s="351"/>
      <c r="H5" s="351"/>
      <c r="I5" s="351"/>
      <c r="J5" s="366"/>
      <c r="K5" s="100"/>
      <c r="L5" s="100"/>
    </row>
    <row r="6" spans="1:12" ht="15.75">
      <c r="A6" s="63" t="s">
        <v>319</v>
      </c>
      <c r="B6" s="352" t="s">
        <v>320</v>
      </c>
      <c r="C6" s="352"/>
      <c r="D6" s="352"/>
      <c r="E6" s="352"/>
      <c r="F6" s="352"/>
      <c r="G6" s="352"/>
      <c r="H6" s="352"/>
      <c r="I6" s="102"/>
      <c r="J6" s="366"/>
      <c r="K6" s="103" t="s">
        <v>321</v>
      </c>
      <c r="L6" s="104"/>
    </row>
    <row r="7" spans="1:12" ht="15.75">
      <c r="A7" s="63" t="s">
        <v>322</v>
      </c>
      <c r="B7" s="352" t="s">
        <v>323</v>
      </c>
      <c r="C7" s="352"/>
      <c r="D7" s="352"/>
      <c r="E7" s="352"/>
      <c r="F7" s="352"/>
      <c r="G7" s="352"/>
      <c r="H7" s="352"/>
      <c r="I7" s="63" t="s">
        <v>324</v>
      </c>
      <c r="J7" s="366"/>
      <c r="K7" s="105" t="s">
        <v>325</v>
      </c>
      <c r="L7" s="106"/>
    </row>
    <row r="8" spans="1:12" ht="15.75">
      <c r="A8" s="63" t="s">
        <v>326</v>
      </c>
      <c r="B8" s="352" t="s">
        <v>327</v>
      </c>
      <c r="C8" s="352"/>
      <c r="D8" s="352"/>
      <c r="E8" s="352"/>
      <c r="F8" s="352"/>
      <c r="G8" s="352"/>
      <c r="H8" s="352"/>
      <c r="I8" s="63" t="s">
        <v>328</v>
      </c>
      <c r="J8" s="366"/>
      <c r="K8" s="107" t="s">
        <v>329</v>
      </c>
      <c r="L8" s="108">
        <f>J138</f>
        <v>2851.2740400000002</v>
      </c>
    </row>
    <row r="9" spans="1:12" ht="15.75">
      <c r="A9" s="63" t="s">
        <v>330</v>
      </c>
      <c r="B9" s="352" t="s">
        <v>331</v>
      </c>
      <c r="C9" s="352"/>
      <c r="D9" s="352"/>
      <c r="E9" s="352"/>
      <c r="F9" s="352"/>
      <c r="G9" s="352"/>
      <c r="H9" s="352"/>
      <c r="I9" s="63">
        <v>12</v>
      </c>
      <c r="J9" s="366"/>
      <c r="K9" s="109"/>
      <c r="L9" s="109"/>
    </row>
    <row r="10" spans="1:12" ht="15.75">
      <c r="A10" s="353"/>
      <c r="B10" s="353"/>
      <c r="C10" s="353"/>
      <c r="D10" s="353"/>
      <c r="E10" s="353"/>
      <c r="F10" s="353"/>
      <c r="G10" s="353"/>
      <c r="H10" s="353"/>
      <c r="I10" s="353"/>
      <c r="J10" s="366"/>
      <c r="K10" s="103" t="s">
        <v>332</v>
      </c>
      <c r="L10" s="104"/>
    </row>
    <row r="11" spans="1:12" ht="15.75">
      <c r="A11" s="351" t="s">
        <v>333</v>
      </c>
      <c r="B11" s="351"/>
      <c r="C11" s="351"/>
      <c r="D11" s="351"/>
      <c r="E11" s="351"/>
      <c r="F11" s="351"/>
      <c r="G11" s="351"/>
      <c r="H11" s="351"/>
      <c r="I11" s="351"/>
      <c r="J11" s="366"/>
      <c r="K11" s="110" t="s">
        <v>334</v>
      </c>
      <c r="L11" s="111"/>
    </row>
    <row r="12" spans="1:12" ht="12.75" customHeight="1">
      <c r="A12" s="350" t="s">
        <v>335</v>
      </c>
      <c r="B12" s="350"/>
      <c r="C12" s="350" t="s">
        <v>336</v>
      </c>
      <c r="D12" s="350"/>
      <c r="E12" s="350" t="s">
        <v>337</v>
      </c>
      <c r="F12" s="350"/>
      <c r="G12" s="350"/>
      <c r="H12" s="350"/>
      <c r="I12" s="350"/>
      <c r="J12" s="366"/>
      <c r="K12" s="112" t="s">
        <v>338</v>
      </c>
      <c r="L12" s="113">
        <v>0.11</v>
      </c>
    </row>
    <row r="13" spans="1:12" ht="15.75">
      <c r="A13" s="354" t="s">
        <v>339</v>
      </c>
      <c r="B13" s="354"/>
      <c r="C13" s="355" t="s">
        <v>499</v>
      </c>
      <c r="D13" s="355"/>
      <c r="E13" s="350"/>
      <c r="F13" s="350"/>
      <c r="G13" s="350"/>
      <c r="H13" s="350"/>
      <c r="I13" s="350"/>
      <c r="J13" s="366"/>
      <c r="K13" s="114" t="s">
        <v>341</v>
      </c>
      <c r="L13" s="115">
        <f>I52</f>
        <v>473.82</v>
      </c>
    </row>
    <row r="14" spans="1:12" ht="15.75">
      <c r="A14" s="351" t="s">
        <v>342</v>
      </c>
      <c r="B14" s="351"/>
      <c r="C14" s="351"/>
      <c r="D14" s="351"/>
      <c r="E14" s="351"/>
      <c r="F14" s="351"/>
      <c r="G14" s="351"/>
      <c r="H14" s="351"/>
      <c r="I14" s="351"/>
      <c r="J14" s="366"/>
      <c r="K14" s="114" t="s">
        <v>343</v>
      </c>
      <c r="L14" s="115">
        <f>I104</f>
        <v>693.90500000000009</v>
      </c>
    </row>
    <row r="15" spans="1:12" ht="15.75">
      <c r="A15" s="63">
        <v>1</v>
      </c>
      <c r="B15" s="352" t="s">
        <v>344</v>
      </c>
      <c r="C15" s="352"/>
      <c r="D15" s="352"/>
      <c r="E15" s="352"/>
      <c r="F15" s="352"/>
      <c r="G15" s="352"/>
      <c r="H15" s="352"/>
      <c r="I15" s="63" t="s">
        <v>500</v>
      </c>
      <c r="J15" s="366"/>
      <c r="K15" s="114" t="s">
        <v>346</v>
      </c>
      <c r="L15" s="115">
        <f>I51</f>
        <v>0</v>
      </c>
    </row>
    <row r="16" spans="1:12" ht="15.75">
      <c r="A16" s="63">
        <v>2</v>
      </c>
      <c r="B16" s="352" t="s">
        <v>347</v>
      </c>
      <c r="C16" s="352"/>
      <c r="D16" s="352"/>
      <c r="E16" s="352"/>
      <c r="F16" s="352"/>
      <c r="G16" s="352"/>
      <c r="H16" s="352"/>
      <c r="I16" s="63" t="s">
        <v>501</v>
      </c>
      <c r="J16" s="366"/>
      <c r="K16" s="116" t="s">
        <v>349</v>
      </c>
      <c r="L16" s="117">
        <f>SUM(L13:L15)</f>
        <v>1167.7250000000001</v>
      </c>
    </row>
    <row r="17" spans="1:12" ht="15.75">
      <c r="A17" s="63">
        <v>3</v>
      </c>
      <c r="B17" s="352" t="s">
        <v>350</v>
      </c>
      <c r="C17" s="352"/>
      <c r="D17" s="352"/>
      <c r="E17" s="352"/>
      <c r="F17" s="352"/>
      <c r="G17" s="352"/>
      <c r="H17" s="352"/>
      <c r="I17" s="64">
        <v>1553.96</v>
      </c>
      <c r="J17" s="366"/>
      <c r="K17" s="114" t="s">
        <v>351</v>
      </c>
      <c r="L17" s="118">
        <f>I139</f>
        <v>4517.973</v>
      </c>
    </row>
    <row r="18" spans="1:12" ht="38.25">
      <c r="A18" s="6">
        <v>4</v>
      </c>
      <c r="B18" s="356" t="s">
        <v>352</v>
      </c>
      <c r="C18" s="356"/>
      <c r="D18" s="356"/>
      <c r="E18" s="356"/>
      <c r="F18" s="356"/>
      <c r="G18" s="356"/>
      <c r="H18" s="356"/>
      <c r="I18" s="13" t="s">
        <v>353</v>
      </c>
      <c r="J18" s="366"/>
      <c r="K18" s="119" t="s">
        <v>354</v>
      </c>
      <c r="L18" s="120">
        <f>L17-L16</f>
        <v>3350.2479999999996</v>
      </c>
    </row>
    <row r="19" spans="1:12" ht="15.75">
      <c r="A19" s="63">
        <v>5</v>
      </c>
      <c r="B19" s="352" t="s">
        <v>355</v>
      </c>
      <c r="C19" s="352"/>
      <c r="D19" s="352"/>
      <c r="E19" s="352"/>
      <c r="F19" s="352"/>
      <c r="G19" s="352"/>
      <c r="H19" s="352"/>
      <c r="I19" s="102" t="s">
        <v>356</v>
      </c>
      <c r="J19" s="366"/>
      <c r="K19" s="121" t="s">
        <v>357</v>
      </c>
      <c r="L19" s="122">
        <f>L18*11%</f>
        <v>368.52727999999996</v>
      </c>
    </row>
    <row r="20" spans="1:12" ht="15.75">
      <c r="A20" s="357"/>
      <c r="B20" s="357"/>
      <c r="C20" s="357"/>
      <c r="D20" s="357"/>
      <c r="E20" s="357"/>
      <c r="F20" s="357"/>
      <c r="G20" s="357"/>
      <c r="H20" s="357"/>
      <c r="I20" s="357"/>
      <c r="J20" s="366"/>
      <c r="K20" s="112" t="s">
        <v>358</v>
      </c>
      <c r="L20" s="123"/>
    </row>
    <row r="21" spans="1:12" ht="15.75" customHeight="1">
      <c r="A21" s="351" t="s">
        <v>359</v>
      </c>
      <c r="B21" s="351"/>
      <c r="C21" s="351"/>
      <c r="D21" s="351"/>
      <c r="E21" s="351"/>
      <c r="F21" s="351"/>
      <c r="G21" s="351"/>
      <c r="H21" s="351"/>
      <c r="I21" s="351"/>
      <c r="J21" s="366"/>
      <c r="K21" s="124" t="s">
        <v>360</v>
      </c>
      <c r="L21" s="125">
        <v>1.2E-2</v>
      </c>
    </row>
    <row r="22" spans="1:12" ht="15.75" customHeight="1">
      <c r="A22" s="95">
        <v>1</v>
      </c>
      <c r="B22" s="351" t="s">
        <v>361</v>
      </c>
      <c r="C22" s="351"/>
      <c r="D22" s="351"/>
      <c r="E22" s="351"/>
      <c r="F22" s="351"/>
      <c r="G22" s="351"/>
      <c r="H22" s="96" t="s">
        <v>362</v>
      </c>
      <c r="I22" s="96" t="s">
        <v>363</v>
      </c>
      <c r="J22" s="366"/>
      <c r="K22" s="126" t="s">
        <v>364</v>
      </c>
      <c r="L22" s="127">
        <v>4.8000000000000001E-2</v>
      </c>
    </row>
    <row r="23" spans="1:12" ht="15.75" customHeight="1">
      <c r="A23" s="95" t="s">
        <v>319</v>
      </c>
      <c r="B23" s="352" t="s">
        <v>365</v>
      </c>
      <c r="C23" s="352"/>
      <c r="D23" s="352"/>
      <c r="E23" s="352"/>
      <c r="F23" s="352"/>
      <c r="G23" s="352"/>
      <c r="H23" s="62"/>
      <c r="I23" s="128">
        <f>I17</f>
        <v>1553.96</v>
      </c>
      <c r="J23" s="366"/>
      <c r="K23" s="114" t="s">
        <v>366</v>
      </c>
      <c r="L23" s="118">
        <f>L17</f>
        <v>4517.973</v>
      </c>
    </row>
    <row r="24" spans="1:12" ht="15.75" customHeight="1">
      <c r="A24" s="95" t="s">
        <v>322</v>
      </c>
      <c r="B24" s="352" t="s">
        <v>367</v>
      </c>
      <c r="C24" s="352"/>
      <c r="D24" s="352"/>
      <c r="E24" s="352"/>
      <c r="F24" s="352"/>
      <c r="G24" s="352"/>
      <c r="H24" s="97"/>
      <c r="I24" s="128">
        <v>0</v>
      </c>
      <c r="J24" s="366"/>
      <c r="K24" s="121" t="s">
        <v>368</v>
      </c>
      <c r="L24" s="122">
        <f>L23*L21</f>
        <v>54.215676000000002</v>
      </c>
    </row>
    <row r="25" spans="1:12" ht="15.75" customHeight="1">
      <c r="A25" s="95" t="s">
        <v>326</v>
      </c>
      <c r="B25" s="352" t="s">
        <v>369</v>
      </c>
      <c r="C25" s="352"/>
      <c r="D25" s="352"/>
      <c r="E25" s="352"/>
      <c r="F25" s="352"/>
      <c r="G25" s="352"/>
      <c r="H25" s="97"/>
      <c r="I25" s="128">
        <v>0</v>
      </c>
      <c r="J25" s="366"/>
      <c r="K25" s="112" t="s">
        <v>370</v>
      </c>
      <c r="L25" s="113">
        <v>0.01</v>
      </c>
    </row>
    <row r="26" spans="1:12" ht="15.75" customHeight="1">
      <c r="A26" s="95" t="s">
        <v>330</v>
      </c>
      <c r="B26" s="352" t="s">
        <v>371</v>
      </c>
      <c r="C26" s="352"/>
      <c r="D26" s="352"/>
      <c r="E26" s="352"/>
      <c r="F26" s="352"/>
      <c r="G26" s="352"/>
      <c r="H26" s="97"/>
      <c r="I26" s="128">
        <v>0</v>
      </c>
      <c r="J26" s="366"/>
      <c r="K26" s="119" t="s">
        <v>351</v>
      </c>
      <c r="L26" s="120">
        <f>L17</f>
        <v>4517.973</v>
      </c>
    </row>
    <row r="27" spans="1:12" ht="15.75" customHeight="1">
      <c r="A27" s="95" t="s">
        <v>372</v>
      </c>
      <c r="B27" s="352" t="s">
        <v>373</v>
      </c>
      <c r="C27" s="352"/>
      <c r="D27" s="352"/>
      <c r="E27" s="352"/>
      <c r="F27" s="352"/>
      <c r="G27" s="352"/>
      <c r="H27" s="97"/>
      <c r="I27" s="128">
        <v>0</v>
      </c>
      <c r="J27" s="366"/>
      <c r="K27" s="121" t="s">
        <v>357</v>
      </c>
      <c r="L27" s="122">
        <f>L26*L25</f>
        <v>45.179729999999999</v>
      </c>
    </row>
    <row r="28" spans="1:12" ht="15.75" customHeight="1">
      <c r="A28" s="95" t="s">
        <v>374</v>
      </c>
      <c r="B28" s="352" t="s">
        <v>375</v>
      </c>
      <c r="C28" s="352"/>
      <c r="D28" s="352"/>
      <c r="E28" s="352"/>
      <c r="F28" s="352"/>
      <c r="G28" s="352"/>
      <c r="H28" s="97"/>
      <c r="I28" s="128">
        <v>0</v>
      </c>
      <c r="J28" s="366"/>
      <c r="K28" s="112" t="s">
        <v>376</v>
      </c>
      <c r="L28" s="113">
        <f>H117</f>
        <v>2.6599999999999999E-2</v>
      </c>
    </row>
    <row r="29" spans="1:12" ht="15.75" customHeight="1">
      <c r="A29" s="351" t="s">
        <v>377</v>
      </c>
      <c r="B29" s="351"/>
      <c r="C29" s="351"/>
      <c r="D29" s="351"/>
      <c r="E29" s="351"/>
      <c r="F29" s="351"/>
      <c r="G29" s="351"/>
      <c r="H29" s="351"/>
      <c r="I29" s="129">
        <f>SUM(I23:I28)</f>
        <v>1553.96</v>
      </c>
      <c r="J29" s="130">
        <f>SUM(I23:I28)</f>
        <v>1553.96</v>
      </c>
      <c r="K29" s="119" t="s">
        <v>351</v>
      </c>
      <c r="L29" s="120">
        <f>L17</f>
        <v>4517.973</v>
      </c>
    </row>
    <row r="30" spans="1:12" ht="15.7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131"/>
      <c r="K30" s="121" t="s">
        <v>357</v>
      </c>
      <c r="L30" s="122">
        <f>L29*L28</f>
        <v>120.17808179999999</v>
      </c>
    </row>
    <row r="31" spans="1:12" ht="15.75" customHeight="1">
      <c r="A31" s="351" t="s">
        <v>378</v>
      </c>
      <c r="B31" s="351"/>
      <c r="C31" s="351"/>
      <c r="D31" s="351"/>
      <c r="E31" s="351"/>
      <c r="F31" s="351"/>
      <c r="G31" s="351"/>
      <c r="H31" s="351"/>
      <c r="I31" s="351"/>
      <c r="J31" s="131"/>
      <c r="K31" s="112" t="s">
        <v>379</v>
      </c>
      <c r="L31" s="113">
        <f>H116</f>
        <v>5.7999999999999996E-3</v>
      </c>
    </row>
    <row r="32" spans="1:12" ht="15.75" customHeight="1">
      <c r="A32" s="351" t="s">
        <v>380</v>
      </c>
      <c r="B32" s="351"/>
      <c r="C32" s="351"/>
      <c r="D32" s="351"/>
      <c r="E32" s="351"/>
      <c r="F32" s="351"/>
      <c r="G32" s="351"/>
      <c r="H32" s="96" t="s">
        <v>362</v>
      </c>
      <c r="I32" s="96" t="s">
        <v>363</v>
      </c>
      <c r="J32" s="132"/>
      <c r="K32" s="119" t="s">
        <v>351</v>
      </c>
      <c r="L32" s="120">
        <f>L17</f>
        <v>4517.973</v>
      </c>
    </row>
    <row r="33" spans="1:12" ht="15.75" customHeight="1">
      <c r="A33" s="95" t="s">
        <v>319</v>
      </c>
      <c r="B33" s="352" t="s">
        <v>381</v>
      </c>
      <c r="C33" s="352"/>
      <c r="D33" s="352"/>
      <c r="E33" s="352"/>
      <c r="F33" s="352"/>
      <c r="G33" s="352"/>
      <c r="H33" s="97">
        <f>ROUND(1/12,4)</f>
        <v>8.3299999999999999E-2</v>
      </c>
      <c r="I33" s="133">
        <f>ROUND(I29*H33,2)</f>
        <v>129.44</v>
      </c>
      <c r="J33" s="130">
        <f>I33+(I33*$H$48)</f>
        <v>174.48511999999999</v>
      </c>
      <c r="K33" s="121" t="s">
        <v>357</v>
      </c>
      <c r="L33" s="122">
        <f>L32*L31</f>
        <v>26.204243399999999</v>
      </c>
    </row>
    <row r="34" spans="1:12" ht="15.75" customHeight="1">
      <c r="A34" s="95" t="s">
        <v>322</v>
      </c>
      <c r="B34" s="352" t="s">
        <v>382</v>
      </c>
      <c r="C34" s="352"/>
      <c r="D34" s="352"/>
      <c r="E34" s="352"/>
      <c r="F34" s="352"/>
      <c r="G34" s="352"/>
      <c r="H34" s="97">
        <v>0.121</v>
      </c>
      <c r="I34" s="133">
        <f>ROUND(I29*H34,2)</f>
        <v>188.03</v>
      </c>
      <c r="J34" s="130">
        <f>I34+(I34*$H$48)</f>
        <v>253.46444000000002</v>
      </c>
      <c r="K34" s="112" t="s">
        <v>383</v>
      </c>
      <c r="L34" s="113">
        <f>H118</f>
        <v>0.05</v>
      </c>
    </row>
    <row r="35" spans="1:12" ht="15.75" customHeight="1">
      <c r="A35" s="351" t="s">
        <v>384</v>
      </c>
      <c r="B35" s="351"/>
      <c r="C35" s="351"/>
      <c r="D35" s="351"/>
      <c r="E35" s="351"/>
      <c r="F35" s="351"/>
      <c r="G35" s="351"/>
      <c r="H35" s="98">
        <f>SUM(H33:H34)</f>
        <v>0.20430000000000001</v>
      </c>
      <c r="I35" s="129">
        <f>SUM(I33:I34)</f>
        <v>317.47000000000003</v>
      </c>
      <c r="J35" s="134"/>
      <c r="K35" s="119" t="s">
        <v>351</v>
      </c>
      <c r="L35" s="120">
        <f>L17</f>
        <v>4517.973</v>
      </c>
    </row>
    <row r="36" spans="1:12" ht="15.75" customHeight="1">
      <c r="A36" s="369" t="s">
        <v>385</v>
      </c>
      <c r="B36" s="369"/>
      <c r="C36" s="369"/>
      <c r="D36" s="369"/>
      <c r="E36" s="369"/>
      <c r="F36" s="369"/>
      <c r="G36" s="358" t="s">
        <v>386</v>
      </c>
      <c r="H36" s="358"/>
      <c r="I36" s="135">
        <f>I29</f>
        <v>1553.96</v>
      </c>
      <c r="J36" s="136"/>
      <c r="K36" s="121" t="s">
        <v>357</v>
      </c>
      <c r="L36" s="122">
        <f>L35*L34</f>
        <v>225.89865</v>
      </c>
    </row>
    <row r="37" spans="1:12" ht="15.75" customHeight="1">
      <c r="A37" s="369"/>
      <c r="B37" s="369"/>
      <c r="C37" s="369"/>
      <c r="D37" s="369"/>
      <c r="E37" s="369"/>
      <c r="F37" s="369"/>
      <c r="G37" s="358" t="s">
        <v>387</v>
      </c>
      <c r="H37" s="358"/>
      <c r="I37" s="135">
        <f>I35</f>
        <v>317.47000000000003</v>
      </c>
      <c r="J37" s="137"/>
      <c r="K37" s="138" t="s">
        <v>388</v>
      </c>
      <c r="L37" s="139">
        <f>L19+L24+L27+L30+L33+L36</f>
        <v>840.20366119999994</v>
      </c>
    </row>
    <row r="38" spans="1:12" ht="15.75" customHeight="1">
      <c r="A38" s="369"/>
      <c r="B38" s="369"/>
      <c r="C38" s="369"/>
      <c r="D38" s="369"/>
      <c r="E38" s="369"/>
      <c r="F38" s="369"/>
      <c r="G38" s="359" t="s">
        <v>389</v>
      </c>
      <c r="H38" s="359"/>
      <c r="I38" s="140">
        <f>SUM(I36:I37)</f>
        <v>1871.43</v>
      </c>
      <c r="J38" s="136"/>
      <c r="K38" s="141"/>
      <c r="L38" s="141"/>
    </row>
    <row r="39" spans="1:12" ht="15.75" customHeight="1">
      <c r="A39" s="351" t="s">
        <v>390</v>
      </c>
      <c r="B39" s="351"/>
      <c r="C39" s="351"/>
      <c r="D39" s="351"/>
      <c r="E39" s="351"/>
      <c r="F39" s="351"/>
      <c r="G39" s="351"/>
      <c r="H39" s="96" t="s">
        <v>362</v>
      </c>
      <c r="I39" s="96" t="s">
        <v>363</v>
      </c>
      <c r="J39" s="136"/>
      <c r="K39" s="142" t="s">
        <v>391</v>
      </c>
      <c r="L39" s="143"/>
    </row>
    <row r="40" spans="1:12" ht="15.75" customHeight="1">
      <c r="A40" s="95" t="s">
        <v>319</v>
      </c>
      <c r="B40" s="352" t="s">
        <v>392</v>
      </c>
      <c r="C40" s="352"/>
      <c r="D40" s="352"/>
      <c r="E40" s="352"/>
      <c r="F40" s="352"/>
      <c r="G40" s="352"/>
      <c r="H40" s="97">
        <v>0.2</v>
      </c>
      <c r="I40" s="133">
        <f t="shared" ref="I40:I47" si="0">ROUND($I$38*H40,2)</f>
        <v>374.29</v>
      </c>
      <c r="J40" s="144" t="s">
        <v>393</v>
      </c>
      <c r="K40" s="145" t="s">
        <v>394</v>
      </c>
      <c r="L40" s="146"/>
    </row>
    <row r="41" spans="1:12" ht="15.75" customHeight="1">
      <c r="A41" s="95" t="s">
        <v>322</v>
      </c>
      <c r="B41" s="352" t="s">
        <v>395</v>
      </c>
      <c r="C41" s="352"/>
      <c r="D41" s="352"/>
      <c r="E41" s="352"/>
      <c r="F41" s="352"/>
      <c r="G41" s="352"/>
      <c r="H41" s="97">
        <v>2.5000000000000001E-2</v>
      </c>
      <c r="I41" s="133">
        <f t="shared" si="0"/>
        <v>46.79</v>
      </c>
      <c r="J41" s="130">
        <f t="shared" ref="J41:J47" si="1">$I$29*H41</f>
        <v>38.848999999999997</v>
      </c>
      <c r="K41" s="147" t="s">
        <v>394</v>
      </c>
      <c r="L41" s="148">
        <f>L8+L37</f>
        <v>3691.4777012000004</v>
      </c>
    </row>
    <row r="42" spans="1:12" ht="15.75" customHeight="1">
      <c r="A42" s="95" t="s">
        <v>326</v>
      </c>
      <c r="B42" s="352" t="s">
        <v>396</v>
      </c>
      <c r="C42" s="352"/>
      <c r="D42" s="352"/>
      <c r="E42" s="352"/>
      <c r="F42" s="352"/>
      <c r="G42" s="352"/>
      <c r="H42" s="402">
        <v>0.01</v>
      </c>
      <c r="I42" s="133">
        <f t="shared" si="0"/>
        <v>18.71</v>
      </c>
      <c r="J42" s="144" t="s">
        <v>393</v>
      </c>
      <c r="K42" s="109"/>
      <c r="L42" s="149"/>
    </row>
    <row r="43" spans="1:12" ht="15.75" customHeight="1">
      <c r="A43" s="95" t="s">
        <v>330</v>
      </c>
      <c r="B43" s="352" t="s">
        <v>397</v>
      </c>
      <c r="C43" s="352"/>
      <c r="D43" s="352"/>
      <c r="E43" s="352"/>
      <c r="F43" s="352"/>
      <c r="G43" s="352"/>
      <c r="H43" s="97">
        <v>1.4999999999999999E-2</v>
      </c>
      <c r="I43" s="133">
        <f t="shared" si="0"/>
        <v>28.07</v>
      </c>
      <c r="J43" s="130">
        <f t="shared" si="1"/>
        <v>23.3094</v>
      </c>
      <c r="K43" s="109"/>
      <c r="L43" s="149"/>
    </row>
    <row r="44" spans="1:12" ht="15.75" customHeight="1">
      <c r="A44" s="95" t="s">
        <v>372</v>
      </c>
      <c r="B44" s="352" t="s">
        <v>398</v>
      </c>
      <c r="C44" s="352"/>
      <c r="D44" s="352"/>
      <c r="E44" s="352"/>
      <c r="F44" s="352"/>
      <c r="G44" s="352"/>
      <c r="H44" s="97">
        <v>0.01</v>
      </c>
      <c r="I44" s="133">
        <f t="shared" si="0"/>
        <v>18.71</v>
      </c>
      <c r="J44" s="130">
        <f t="shared" si="1"/>
        <v>15.5396</v>
      </c>
      <c r="K44" s="109"/>
      <c r="L44" s="149"/>
    </row>
    <row r="45" spans="1:12" ht="15.75" customHeight="1">
      <c r="A45" s="95" t="s">
        <v>374</v>
      </c>
      <c r="B45" s="352" t="s">
        <v>399</v>
      </c>
      <c r="C45" s="352"/>
      <c r="D45" s="352"/>
      <c r="E45" s="352"/>
      <c r="F45" s="352"/>
      <c r="G45" s="352"/>
      <c r="H45" s="97">
        <v>6.0000000000000001E-3</v>
      </c>
      <c r="I45" s="133">
        <f t="shared" si="0"/>
        <v>11.23</v>
      </c>
      <c r="J45" s="130">
        <f t="shared" si="1"/>
        <v>9.32376</v>
      </c>
      <c r="K45" s="109"/>
      <c r="L45" s="149"/>
    </row>
    <row r="46" spans="1:12" ht="15.75" customHeight="1">
      <c r="A46" s="95" t="s">
        <v>400</v>
      </c>
      <c r="B46" s="352" t="s">
        <v>401</v>
      </c>
      <c r="C46" s="352"/>
      <c r="D46" s="352"/>
      <c r="E46" s="352"/>
      <c r="F46" s="352"/>
      <c r="G46" s="352"/>
      <c r="H46" s="97">
        <v>2E-3</v>
      </c>
      <c r="I46" s="133">
        <f t="shared" si="0"/>
        <v>3.74</v>
      </c>
      <c r="J46" s="130">
        <f t="shared" si="1"/>
        <v>3.10792</v>
      </c>
      <c r="K46" s="109"/>
      <c r="L46" s="149"/>
    </row>
    <row r="47" spans="1:12" ht="15.75" customHeight="1">
      <c r="A47" s="95" t="s">
        <v>402</v>
      </c>
      <c r="B47" s="352" t="s">
        <v>403</v>
      </c>
      <c r="C47" s="352"/>
      <c r="D47" s="352"/>
      <c r="E47" s="352"/>
      <c r="F47" s="352"/>
      <c r="G47" s="352"/>
      <c r="H47" s="97">
        <v>0.08</v>
      </c>
      <c r="I47" s="133">
        <f t="shared" si="0"/>
        <v>149.71</v>
      </c>
      <c r="J47" s="130">
        <f t="shared" si="1"/>
        <v>124.3168</v>
      </c>
      <c r="K47" s="360" t="s">
        <v>404</v>
      </c>
      <c r="L47" s="360"/>
    </row>
    <row r="48" spans="1:12" ht="15.75" customHeight="1">
      <c r="A48" s="351" t="s">
        <v>405</v>
      </c>
      <c r="B48" s="351"/>
      <c r="C48" s="351"/>
      <c r="D48" s="351"/>
      <c r="E48" s="351"/>
      <c r="F48" s="351"/>
      <c r="G48" s="351"/>
      <c r="H48" s="98">
        <f>SUM(H40:H47)</f>
        <v>0.34800000000000003</v>
      </c>
      <c r="I48" s="129">
        <f>SUM(I40:I47)</f>
        <v>651.25</v>
      </c>
      <c r="J48" s="137"/>
      <c r="K48" s="361" t="s">
        <v>406</v>
      </c>
      <c r="L48" s="361"/>
    </row>
    <row r="49" spans="1:14" ht="15.75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137"/>
      <c r="K49" s="150" t="s">
        <v>407</v>
      </c>
      <c r="L49" s="151">
        <v>1</v>
      </c>
    </row>
    <row r="50" spans="1:14" ht="15.75" customHeight="1">
      <c r="A50" s="351" t="s">
        <v>408</v>
      </c>
      <c r="B50" s="351"/>
      <c r="C50" s="351"/>
      <c r="D50" s="351"/>
      <c r="E50" s="351"/>
      <c r="F50" s="351"/>
      <c r="G50" s="351"/>
      <c r="H50" s="98"/>
      <c r="I50" s="96" t="s">
        <v>363</v>
      </c>
      <c r="J50" s="137"/>
      <c r="K50" s="367" t="s">
        <v>409</v>
      </c>
      <c r="L50" s="368">
        <f>L41</f>
        <v>3691.4777012000004</v>
      </c>
    </row>
    <row r="51" spans="1:14" ht="15.75" customHeight="1">
      <c r="A51" s="95" t="s">
        <v>319</v>
      </c>
      <c r="B51" s="357" t="s">
        <v>410</v>
      </c>
      <c r="C51" s="357"/>
      <c r="D51" s="357"/>
      <c r="E51" s="357"/>
      <c r="F51" s="357"/>
      <c r="G51" s="357"/>
      <c r="H51" s="99" t="s">
        <v>303</v>
      </c>
      <c r="I51" s="128">
        <v>0</v>
      </c>
      <c r="J51" s="130">
        <f t="shared" ref="J51:J54" si="2">I51</f>
        <v>0</v>
      </c>
      <c r="K51" s="367"/>
      <c r="L51" s="368"/>
    </row>
    <row r="52" spans="1:14" ht="15.75" customHeight="1">
      <c r="A52" s="95" t="s">
        <v>322</v>
      </c>
      <c r="B52" s="357" t="s">
        <v>411</v>
      </c>
      <c r="C52" s="357"/>
      <c r="D52" s="357"/>
      <c r="E52" s="357"/>
      <c r="F52" s="357"/>
      <c r="G52" s="357"/>
      <c r="H52" s="63" t="s">
        <v>303</v>
      </c>
      <c r="I52" s="128">
        <v>473.82</v>
      </c>
      <c r="J52" s="130">
        <f t="shared" si="2"/>
        <v>473.82</v>
      </c>
      <c r="K52" s="367"/>
      <c r="L52" s="368"/>
    </row>
    <row r="53" spans="1:14" ht="15.75" customHeight="1">
      <c r="A53" s="95" t="s">
        <v>326</v>
      </c>
      <c r="B53" s="357" t="s">
        <v>412</v>
      </c>
      <c r="C53" s="357"/>
      <c r="D53" s="357"/>
      <c r="E53" s="357"/>
      <c r="F53" s="357"/>
      <c r="G53" s="357"/>
      <c r="H53" s="63" t="s">
        <v>303</v>
      </c>
      <c r="I53" s="128">
        <f>(52.15+78.22)*0.4</f>
        <v>52.148000000000003</v>
      </c>
      <c r="J53" s="130">
        <f t="shared" si="2"/>
        <v>52.148000000000003</v>
      </c>
      <c r="K53" s="153" t="s">
        <v>413</v>
      </c>
      <c r="L53" s="152">
        <f>I139</f>
        <v>4517.973</v>
      </c>
    </row>
    <row r="54" spans="1:14" ht="15.75" customHeight="1">
      <c r="A54" s="95" t="s">
        <v>330</v>
      </c>
      <c r="B54" s="357" t="s">
        <v>414</v>
      </c>
      <c r="C54" s="357"/>
      <c r="D54" s="357"/>
      <c r="E54" s="357"/>
      <c r="F54" s="357"/>
      <c r="G54" s="357"/>
      <c r="H54" s="63" t="s">
        <v>303</v>
      </c>
      <c r="I54" s="128">
        <f>ROUND((I23*26)*0.002/12,2)</f>
        <v>6.73</v>
      </c>
      <c r="J54" s="130">
        <f t="shared" si="2"/>
        <v>6.73</v>
      </c>
      <c r="K54" s="154" t="s">
        <v>415</v>
      </c>
      <c r="L54" s="155">
        <f>L41</f>
        <v>3691.4777012000004</v>
      </c>
    </row>
    <row r="55" spans="1:14" ht="15.75" customHeight="1">
      <c r="A55" s="351" t="s">
        <v>416</v>
      </c>
      <c r="B55" s="351"/>
      <c r="C55" s="351"/>
      <c r="D55" s="351"/>
      <c r="E55" s="351"/>
      <c r="F55" s="351"/>
      <c r="G55" s="351"/>
      <c r="H55" s="351"/>
      <c r="I55" s="200">
        <f>SUM(I51:I54)</f>
        <v>532.69799999999998</v>
      </c>
      <c r="J55" s="134"/>
      <c r="K55" s="156" t="s">
        <v>417</v>
      </c>
      <c r="L55" s="157">
        <f>L53-L54</f>
        <v>826.49529879999955</v>
      </c>
    </row>
    <row r="56" spans="1:14" ht="15.75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134"/>
      <c r="K56" s="158" t="s">
        <v>418</v>
      </c>
      <c r="L56" s="159">
        <f>SUM(I68:I71,I96,I104,I113)</f>
        <v>906.82500000000016</v>
      </c>
    </row>
    <row r="57" spans="1:14" ht="15.75" customHeight="1">
      <c r="A57" s="351" t="s">
        <v>419</v>
      </c>
      <c r="B57" s="351"/>
      <c r="C57" s="351"/>
      <c r="D57" s="351"/>
      <c r="E57" s="351"/>
      <c r="F57" s="351"/>
      <c r="G57" s="351"/>
      <c r="H57" s="351"/>
      <c r="I57" s="351"/>
      <c r="J57" s="134"/>
      <c r="K57" s="158" t="s">
        <v>420</v>
      </c>
      <c r="L57" s="160">
        <f>L55-L56</f>
        <v>-80.329701200000613</v>
      </c>
    </row>
    <row r="58" spans="1:14" ht="15.75" customHeight="1">
      <c r="A58" s="351" t="s">
        <v>421</v>
      </c>
      <c r="B58" s="351"/>
      <c r="C58" s="351"/>
      <c r="D58" s="351"/>
      <c r="E58" s="351"/>
      <c r="F58" s="351"/>
      <c r="G58" s="351"/>
      <c r="H58" s="351"/>
      <c r="I58" s="96" t="s">
        <v>363</v>
      </c>
      <c r="J58" s="134"/>
      <c r="K58" s="161" t="s">
        <v>422</v>
      </c>
      <c r="L58" s="162">
        <f>ROUND(L57*L49,2)</f>
        <v>-80.33</v>
      </c>
    </row>
    <row r="59" spans="1:14" ht="15.75" customHeight="1">
      <c r="A59" s="95" t="s">
        <v>215</v>
      </c>
      <c r="B59" s="352" t="s">
        <v>423</v>
      </c>
      <c r="C59" s="352"/>
      <c r="D59" s="352"/>
      <c r="E59" s="352"/>
      <c r="F59" s="352"/>
      <c r="G59" s="352"/>
      <c r="H59" s="352"/>
      <c r="I59" s="133">
        <f>I35</f>
        <v>317.47000000000003</v>
      </c>
      <c r="J59" s="134"/>
      <c r="K59" s="161" t="s">
        <v>424</v>
      </c>
      <c r="L59" s="162">
        <f>ROUND((L57*12)*L49,2)</f>
        <v>-963.96</v>
      </c>
    </row>
    <row r="60" spans="1:14" ht="15.75" customHeight="1">
      <c r="A60" s="95" t="s">
        <v>245</v>
      </c>
      <c r="B60" s="352" t="s">
        <v>425</v>
      </c>
      <c r="C60" s="352"/>
      <c r="D60" s="352"/>
      <c r="E60" s="352"/>
      <c r="F60" s="352"/>
      <c r="G60" s="352"/>
      <c r="H60" s="352"/>
      <c r="I60" s="133">
        <f>I48</f>
        <v>651.25</v>
      </c>
      <c r="J60" s="134"/>
      <c r="K60" s="372" t="s">
        <v>426</v>
      </c>
      <c r="L60" s="372"/>
      <c r="N60" s="201"/>
    </row>
    <row r="61" spans="1:14" ht="15.75" customHeight="1">
      <c r="A61" s="95" t="s">
        <v>257</v>
      </c>
      <c r="B61" s="352" t="s">
        <v>427</v>
      </c>
      <c r="C61" s="352"/>
      <c r="D61" s="352"/>
      <c r="E61" s="352"/>
      <c r="F61" s="352"/>
      <c r="G61" s="352"/>
      <c r="H61" s="352"/>
      <c r="I61" s="133">
        <f>I55</f>
        <v>532.69799999999998</v>
      </c>
      <c r="J61" s="134"/>
      <c r="K61" s="372"/>
      <c r="L61" s="372"/>
    </row>
    <row r="62" spans="1:14" ht="15.75" customHeight="1">
      <c r="A62" s="351" t="s">
        <v>428</v>
      </c>
      <c r="B62" s="351"/>
      <c r="C62" s="351"/>
      <c r="D62" s="351"/>
      <c r="E62" s="351"/>
      <c r="F62" s="351"/>
      <c r="G62" s="351"/>
      <c r="H62" s="351"/>
      <c r="I62" s="129">
        <f>SUM(I59:I61)</f>
        <v>1501.4180000000001</v>
      </c>
      <c r="J62" s="134"/>
      <c r="K62" s="372"/>
      <c r="L62" s="372"/>
    </row>
    <row r="63" spans="1:14" ht="15.75" customHeight="1">
      <c r="A63" s="370" t="s">
        <v>429</v>
      </c>
      <c r="B63" s="370"/>
      <c r="C63" s="370"/>
      <c r="D63" s="370"/>
      <c r="E63" s="370"/>
      <c r="F63" s="370"/>
      <c r="G63" s="358" t="s">
        <v>386</v>
      </c>
      <c r="H63" s="358"/>
      <c r="I63" s="135">
        <f>I29</f>
        <v>1553.96</v>
      </c>
      <c r="J63" s="134"/>
      <c r="K63" s="372"/>
      <c r="L63" s="372"/>
    </row>
    <row r="64" spans="1:14" ht="15.75" customHeight="1">
      <c r="A64" s="370"/>
      <c r="B64" s="370"/>
      <c r="C64" s="370"/>
      <c r="D64" s="370"/>
      <c r="E64" s="370"/>
      <c r="F64" s="370"/>
      <c r="G64" s="358" t="s">
        <v>430</v>
      </c>
      <c r="H64" s="358"/>
      <c r="I64" s="135">
        <f>I62</f>
        <v>1501.4180000000001</v>
      </c>
      <c r="J64" s="134"/>
      <c r="K64" s="372"/>
      <c r="L64" s="372"/>
    </row>
    <row r="65" spans="1:14" ht="15.75" customHeight="1">
      <c r="A65" s="370"/>
      <c r="B65" s="370"/>
      <c r="C65" s="370"/>
      <c r="D65" s="370"/>
      <c r="E65" s="370"/>
      <c r="F65" s="370"/>
      <c r="G65" s="359" t="s">
        <v>389</v>
      </c>
      <c r="H65" s="359"/>
      <c r="I65" s="140">
        <f>SUM(I63:I64)</f>
        <v>3055.3780000000002</v>
      </c>
      <c r="J65" s="134"/>
      <c r="K65" s="372"/>
      <c r="L65" s="372"/>
    </row>
    <row r="66" spans="1:14" ht="15.75" customHeight="1">
      <c r="A66" s="351" t="s">
        <v>431</v>
      </c>
      <c r="B66" s="351"/>
      <c r="C66" s="351"/>
      <c r="D66" s="351"/>
      <c r="E66" s="351"/>
      <c r="F66" s="351"/>
      <c r="G66" s="351"/>
      <c r="H66" s="351"/>
      <c r="I66" s="351"/>
      <c r="J66" s="134"/>
      <c r="K66" s="372"/>
      <c r="L66" s="372"/>
    </row>
    <row r="67" spans="1:14" ht="15.75" customHeight="1">
      <c r="A67" s="95">
        <v>3</v>
      </c>
      <c r="B67" s="351" t="s">
        <v>432</v>
      </c>
      <c r="C67" s="351"/>
      <c r="D67" s="351"/>
      <c r="E67" s="351"/>
      <c r="F67" s="351"/>
      <c r="G67" s="351"/>
      <c r="H67" s="96" t="s">
        <v>362</v>
      </c>
      <c r="I67" s="96" t="s">
        <v>363</v>
      </c>
      <c r="J67" s="134"/>
      <c r="K67" s="372"/>
      <c r="L67" s="372"/>
    </row>
    <row r="68" spans="1:14" ht="15.75" customHeight="1">
      <c r="A68" s="95" t="s">
        <v>319</v>
      </c>
      <c r="B68" s="352" t="s">
        <v>433</v>
      </c>
      <c r="C68" s="352"/>
      <c r="D68" s="352"/>
      <c r="E68" s="352"/>
      <c r="F68" s="352"/>
      <c r="G68" s="352"/>
      <c r="H68" s="97">
        <f>ROUND(((1/12)*5%),4)</f>
        <v>4.1999999999999997E-3</v>
      </c>
      <c r="I68" s="133">
        <f>ROUND(H68*$I$65,2)</f>
        <v>12.83</v>
      </c>
      <c r="J68" s="134"/>
      <c r="K68" s="372"/>
      <c r="L68" s="372"/>
    </row>
    <row r="69" spans="1:14" ht="15.75" customHeight="1">
      <c r="A69" s="95" t="s">
        <v>322</v>
      </c>
      <c r="B69" s="352" t="s">
        <v>434</v>
      </c>
      <c r="C69" s="352"/>
      <c r="D69" s="352"/>
      <c r="E69" s="352"/>
      <c r="F69" s="352"/>
      <c r="G69" s="352"/>
      <c r="H69" s="97">
        <f>TRUNC(H68*H47,4)</f>
        <v>2.9999999999999997E-4</v>
      </c>
      <c r="I69" s="133">
        <f>ROUND(H69*$I$65,2)</f>
        <v>0.92</v>
      </c>
      <c r="J69" s="134"/>
      <c r="K69" s="372"/>
      <c r="L69" s="372"/>
    </row>
    <row r="70" spans="1:14" ht="15.75" customHeight="1">
      <c r="A70" s="95" t="s">
        <v>326</v>
      </c>
      <c r="B70" s="352" t="s">
        <v>435</v>
      </c>
      <c r="C70" s="352"/>
      <c r="D70" s="352"/>
      <c r="E70" s="352"/>
      <c r="F70" s="352"/>
      <c r="G70" s="352"/>
      <c r="H70" s="97">
        <f>ROUND(((7/30)/12)*95%,4)</f>
        <v>1.8499999999999999E-2</v>
      </c>
      <c r="I70" s="133">
        <f>ROUND(H70*$I$65,2)</f>
        <v>56.52</v>
      </c>
      <c r="J70" s="134"/>
      <c r="K70" s="109"/>
      <c r="L70" s="109"/>
    </row>
    <row r="71" spans="1:14" ht="15.75" customHeight="1">
      <c r="A71" s="202" t="s">
        <v>330</v>
      </c>
      <c r="B71" s="363" t="s">
        <v>436</v>
      </c>
      <c r="C71" s="363"/>
      <c r="D71" s="363"/>
      <c r="E71" s="363"/>
      <c r="F71" s="363"/>
      <c r="G71" s="363"/>
      <c r="H71" s="97">
        <f>ROUND(H70*H48,4)</f>
        <v>6.4000000000000003E-3</v>
      </c>
      <c r="I71" s="133">
        <f>ROUND(H71*$I$65,2)</f>
        <v>19.55</v>
      </c>
      <c r="J71" s="134"/>
      <c r="K71" s="109"/>
      <c r="L71" s="109"/>
    </row>
    <row r="72" spans="1:14" ht="15.75" customHeight="1">
      <c r="A72" s="95" t="s">
        <v>372</v>
      </c>
      <c r="B72" s="352" t="s">
        <v>437</v>
      </c>
      <c r="C72" s="352"/>
      <c r="D72" s="352"/>
      <c r="E72" s="352"/>
      <c r="F72" s="352"/>
      <c r="G72" s="352"/>
      <c r="H72" s="97">
        <v>0.04</v>
      </c>
      <c r="I72" s="133">
        <f>ROUND(H72*$I$65,2)</f>
        <v>122.22</v>
      </c>
      <c r="J72" s="130">
        <f>I72</f>
        <v>122.22</v>
      </c>
      <c r="K72" s="109"/>
      <c r="L72" s="109"/>
    </row>
    <row r="73" spans="1:14" ht="15.75" customHeight="1">
      <c r="A73" s="351" t="s">
        <v>438</v>
      </c>
      <c r="B73" s="351"/>
      <c r="C73" s="351"/>
      <c r="D73" s="351"/>
      <c r="E73" s="351"/>
      <c r="F73" s="351"/>
      <c r="G73" s="351"/>
      <c r="H73" s="98">
        <f>SUM(H68:H72)</f>
        <v>6.9400000000000003E-2</v>
      </c>
      <c r="I73" s="129">
        <f>SUM(I68:I72)</f>
        <v>212.04000000000002</v>
      </c>
      <c r="J73" s="134"/>
      <c r="K73" s="179"/>
      <c r="L73" s="109"/>
    </row>
    <row r="74" spans="1:14" ht="15.75" customHeight="1">
      <c r="A74" s="371" t="s">
        <v>439</v>
      </c>
      <c r="B74" s="371"/>
      <c r="C74" s="371"/>
      <c r="D74" s="371"/>
      <c r="E74" s="371"/>
      <c r="F74" s="371"/>
      <c r="G74" s="358" t="s">
        <v>386</v>
      </c>
      <c r="H74" s="358"/>
      <c r="I74" s="135">
        <f>I29</f>
        <v>1553.96</v>
      </c>
      <c r="J74" s="134"/>
      <c r="K74" s="179"/>
      <c r="L74" s="109"/>
    </row>
    <row r="75" spans="1:14" ht="15.75" customHeight="1">
      <c r="A75" s="371"/>
      <c r="B75" s="371"/>
      <c r="C75" s="371"/>
      <c r="D75" s="371"/>
      <c r="E75" s="371"/>
      <c r="F75" s="371"/>
      <c r="G75" s="358" t="s">
        <v>430</v>
      </c>
      <c r="H75" s="358"/>
      <c r="I75" s="135">
        <f>I62</f>
        <v>1501.4180000000001</v>
      </c>
      <c r="J75" s="134"/>
      <c r="K75" s="179"/>
      <c r="L75" s="109"/>
    </row>
    <row r="76" spans="1:14" ht="15.75" customHeight="1">
      <c r="A76" s="371"/>
      <c r="B76" s="371"/>
      <c r="C76" s="371"/>
      <c r="D76" s="371"/>
      <c r="E76" s="371"/>
      <c r="F76" s="371"/>
      <c r="G76" s="358" t="s">
        <v>440</v>
      </c>
      <c r="H76" s="358"/>
      <c r="I76" s="135">
        <f>I73</f>
        <v>212.04000000000002</v>
      </c>
      <c r="J76" s="134"/>
      <c r="K76" s="179"/>
      <c r="L76" s="109"/>
      <c r="N76" s="203"/>
    </row>
    <row r="77" spans="1:14" ht="15.75" customHeight="1">
      <c r="A77" s="371"/>
      <c r="B77" s="371"/>
      <c r="C77" s="371"/>
      <c r="D77" s="371"/>
      <c r="E77" s="371"/>
      <c r="F77" s="371"/>
      <c r="G77" s="359" t="s">
        <v>389</v>
      </c>
      <c r="H77" s="359"/>
      <c r="I77" s="140">
        <f>SUM(I74:I76)</f>
        <v>3267.4180000000001</v>
      </c>
      <c r="J77" s="134"/>
      <c r="K77" s="179"/>
      <c r="L77" s="109"/>
    </row>
    <row r="78" spans="1:14" ht="15.75" customHeight="1">
      <c r="A78" s="351" t="s">
        <v>441</v>
      </c>
      <c r="B78" s="351"/>
      <c r="C78" s="351"/>
      <c r="D78" s="351"/>
      <c r="E78" s="351"/>
      <c r="F78" s="351"/>
      <c r="G78" s="351"/>
      <c r="H78" s="351"/>
      <c r="I78" s="351"/>
      <c r="J78" s="131"/>
      <c r="K78" s="179"/>
      <c r="L78" s="109"/>
    </row>
    <row r="79" spans="1:14" ht="15.75" customHeight="1">
      <c r="A79" s="351" t="s">
        <v>442</v>
      </c>
      <c r="B79" s="351"/>
      <c r="C79" s="351"/>
      <c r="D79" s="351"/>
      <c r="E79" s="351"/>
      <c r="F79" s="351"/>
      <c r="G79" s="351"/>
      <c r="H79" s="96" t="s">
        <v>362</v>
      </c>
      <c r="I79" s="96" t="s">
        <v>363</v>
      </c>
      <c r="J79" s="134"/>
      <c r="K79" s="179"/>
      <c r="L79" s="180"/>
    </row>
    <row r="80" spans="1:14" ht="15.75" customHeight="1">
      <c r="A80" s="95" t="s">
        <v>319</v>
      </c>
      <c r="B80" s="352" t="s">
        <v>443</v>
      </c>
      <c r="C80" s="352"/>
      <c r="D80" s="352"/>
      <c r="E80" s="352"/>
      <c r="F80" s="352"/>
      <c r="G80" s="352"/>
      <c r="H80" s="97">
        <f>ROUND(((1+1/3)/12)/12,4)</f>
        <v>9.2999999999999992E-3</v>
      </c>
      <c r="I80" s="133">
        <f t="shared" ref="I80:I85" si="3">ROUND(H80*$I$77,2)</f>
        <v>30.39</v>
      </c>
      <c r="J80" s="134"/>
      <c r="K80" s="179"/>
      <c r="L80" s="109"/>
    </row>
    <row r="81" spans="1:12" ht="15.75" customHeight="1">
      <c r="A81" s="95" t="s">
        <v>322</v>
      </c>
      <c r="B81" s="352" t="s">
        <v>444</v>
      </c>
      <c r="C81" s="352"/>
      <c r="D81" s="352"/>
      <c r="E81" s="352"/>
      <c r="F81" s="352"/>
      <c r="G81" s="352"/>
      <c r="H81" s="97">
        <f>ROUND((2/30)/12,4)</f>
        <v>5.5999999999999999E-3</v>
      </c>
      <c r="I81" s="133">
        <f t="shared" si="3"/>
        <v>18.3</v>
      </c>
      <c r="J81" s="134"/>
      <c r="K81" s="109"/>
      <c r="L81" s="109"/>
    </row>
    <row r="82" spans="1:12" ht="15.75" customHeight="1">
      <c r="A82" s="95" t="s">
        <v>326</v>
      </c>
      <c r="B82" s="352" t="s">
        <v>445</v>
      </c>
      <c r="C82" s="352"/>
      <c r="D82" s="352"/>
      <c r="E82" s="352"/>
      <c r="F82" s="352"/>
      <c r="G82" s="352"/>
      <c r="H82" s="97">
        <f>ROUND(((5/30)/12)*2%,4)</f>
        <v>2.9999999999999997E-4</v>
      </c>
      <c r="I82" s="133">
        <f t="shared" si="3"/>
        <v>0.98</v>
      </c>
      <c r="J82" s="134"/>
      <c r="K82" s="109"/>
      <c r="L82" s="109"/>
    </row>
    <row r="83" spans="1:12" ht="15.75" customHeight="1">
      <c r="A83" s="95" t="s">
        <v>330</v>
      </c>
      <c r="B83" s="352" t="s">
        <v>446</v>
      </c>
      <c r="C83" s="352"/>
      <c r="D83" s="352"/>
      <c r="E83" s="352"/>
      <c r="F83" s="352"/>
      <c r="G83" s="352"/>
      <c r="H83" s="97">
        <f>ROUND(((15/30)/12)*8%,4)</f>
        <v>3.3E-3</v>
      </c>
      <c r="I83" s="133">
        <f t="shared" si="3"/>
        <v>10.78</v>
      </c>
      <c r="J83" s="134"/>
      <c r="K83" s="109"/>
      <c r="L83" s="109"/>
    </row>
    <row r="84" spans="1:12" ht="15.75" customHeight="1">
      <c r="A84" s="95" t="s">
        <v>372</v>
      </c>
      <c r="B84" s="352" t="s">
        <v>447</v>
      </c>
      <c r="C84" s="352"/>
      <c r="D84" s="352"/>
      <c r="E84" s="352"/>
      <c r="F84" s="352"/>
      <c r="G84" s="352"/>
      <c r="H84" s="97">
        <f>ROUND(((1+1/3)/12*4/12)*2%,4)</f>
        <v>6.9999999999999999E-4</v>
      </c>
      <c r="I84" s="133">
        <f t="shared" si="3"/>
        <v>2.29</v>
      </c>
      <c r="J84" s="134"/>
      <c r="K84" s="109"/>
      <c r="L84" s="109"/>
    </row>
    <row r="85" spans="1:12" ht="15.75" customHeight="1">
      <c r="A85" s="95" t="s">
        <v>374</v>
      </c>
      <c r="B85" s="352" t="s">
        <v>448</v>
      </c>
      <c r="C85" s="352"/>
      <c r="D85" s="352"/>
      <c r="E85" s="352"/>
      <c r="F85" s="352"/>
      <c r="G85" s="352"/>
      <c r="H85" s="97">
        <v>0</v>
      </c>
      <c r="I85" s="133">
        <f t="shared" si="3"/>
        <v>0</v>
      </c>
      <c r="J85" s="134"/>
      <c r="K85" s="109"/>
      <c r="L85" s="109"/>
    </row>
    <row r="86" spans="1:12" ht="15.75" customHeight="1">
      <c r="A86" s="351" t="s">
        <v>449</v>
      </c>
      <c r="B86" s="351"/>
      <c r="C86" s="351"/>
      <c r="D86" s="351"/>
      <c r="E86" s="351"/>
      <c r="F86" s="351"/>
      <c r="G86" s="351"/>
      <c r="H86" s="98">
        <f>SUM(H80:H85)</f>
        <v>1.9199999999999998E-2</v>
      </c>
      <c r="I86" s="129">
        <f>SUM(I80:I85)</f>
        <v>62.739999999999995</v>
      </c>
      <c r="J86" s="134"/>
      <c r="K86" s="109"/>
      <c r="L86" s="181"/>
    </row>
    <row r="87" spans="1:12" ht="15.75" customHeight="1">
      <c r="A87" s="362"/>
      <c r="B87" s="362"/>
      <c r="C87" s="362"/>
      <c r="D87" s="362"/>
      <c r="E87" s="362"/>
      <c r="F87" s="362"/>
      <c r="G87" s="362"/>
      <c r="H87" s="362"/>
      <c r="I87" s="362"/>
      <c r="J87" s="134"/>
      <c r="K87" s="182"/>
      <c r="L87" s="109"/>
    </row>
    <row r="88" spans="1:12" ht="15.75" customHeight="1">
      <c r="A88" s="351" t="s">
        <v>450</v>
      </c>
      <c r="B88" s="351"/>
      <c r="C88" s="351"/>
      <c r="D88" s="351"/>
      <c r="E88" s="351"/>
      <c r="F88" s="351"/>
      <c r="G88" s="351"/>
      <c r="H88" s="96" t="s">
        <v>362</v>
      </c>
      <c r="I88" s="96" t="s">
        <v>363</v>
      </c>
      <c r="J88" s="134"/>
      <c r="K88" s="109"/>
      <c r="L88" s="109"/>
    </row>
    <row r="89" spans="1:12" ht="15.75" customHeight="1">
      <c r="A89" s="95" t="s">
        <v>319</v>
      </c>
      <c r="B89" s="352" t="s">
        <v>451</v>
      </c>
      <c r="C89" s="352"/>
      <c r="D89" s="352"/>
      <c r="E89" s="352"/>
      <c r="F89" s="352"/>
      <c r="G89" s="352"/>
      <c r="H89" s="97">
        <v>0</v>
      </c>
      <c r="I89" s="133">
        <f>I29*H89</f>
        <v>0</v>
      </c>
      <c r="J89" s="134"/>
      <c r="K89" s="109"/>
      <c r="L89" s="109"/>
    </row>
    <row r="90" spans="1:12" ht="15.75" customHeight="1">
      <c r="A90" s="351" t="s">
        <v>452</v>
      </c>
      <c r="B90" s="351"/>
      <c r="C90" s="351"/>
      <c r="D90" s="351"/>
      <c r="E90" s="351"/>
      <c r="F90" s="351"/>
      <c r="G90" s="351"/>
      <c r="H90" s="98">
        <f>H89</f>
        <v>0</v>
      </c>
      <c r="I90" s="129">
        <f>I89</f>
        <v>0</v>
      </c>
      <c r="J90" s="134"/>
      <c r="K90" s="183"/>
      <c r="L90" s="109"/>
    </row>
    <row r="91" spans="1:12" ht="15.75" customHeight="1">
      <c r="A91" s="362"/>
      <c r="B91" s="362"/>
      <c r="C91" s="362"/>
      <c r="D91" s="362"/>
      <c r="E91" s="362"/>
      <c r="F91" s="362"/>
      <c r="G91" s="362"/>
      <c r="H91" s="362"/>
      <c r="I91" s="362"/>
      <c r="J91" s="134"/>
      <c r="K91" s="109"/>
      <c r="L91" s="109"/>
    </row>
    <row r="92" spans="1:12" ht="15.75" customHeight="1">
      <c r="A92" s="351" t="s">
        <v>453</v>
      </c>
      <c r="B92" s="351"/>
      <c r="C92" s="351"/>
      <c r="D92" s="351"/>
      <c r="E92" s="351"/>
      <c r="F92" s="351"/>
      <c r="G92" s="351"/>
      <c r="H92" s="351"/>
      <c r="I92" s="351"/>
      <c r="J92" s="134"/>
      <c r="K92" s="109"/>
      <c r="L92" s="109"/>
    </row>
    <row r="93" spans="1:12" ht="15.75" customHeight="1">
      <c r="A93" s="351" t="s">
        <v>454</v>
      </c>
      <c r="B93" s="351"/>
      <c r="C93" s="351"/>
      <c r="D93" s="351"/>
      <c r="E93" s="351"/>
      <c r="F93" s="351"/>
      <c r="G93" s="351"/>
      <c r="H93" s="351"/>
      <c r="I93" s="96" t="s">
        <v>363</v>
      </c>
      <c r="J93" s="134"/>
      <c r="K93" s="109"/>
      <c r="L93" s="109"/>
    </row>
    <row r="94" spans="1:12" ht="15.75" customHeight="1">
      <c r="A94" s="95" t="s">
        <v>455</v>
      </c>
      <c r="B94" s="352" t="s">
        <v>456</v>
      </c>
      <c r="C94" s="352"/>
      <c r="D94" s="352"/>
      <c r="E94" s="352"/>
      <c r="F94" s="352"/>
      <c r="G94" s="352"/>
      <c r="H94" s="352"/>
      <c r="I94" s="133">
        <f>I86</f>
        <v>62.739999999999995</v>
      </c>
      <c r="J94" s="134"/>
      <c r="K94" s="109"/>
      <c r="L94" s="109"/>
    </row>
    <row r="95" spans="1:12" ht="15.75" customHeight="1">
      <c r="A95" s="95" t="s">
        <v>457</v>
      </c>
      <c r="B95" s="352" t="s">
        <v>458</v>
      </c>
      <c r="C95" s="352"/>
      <c r="D95" s="352"/>
      <c r="E95" s="352"/>
      <c r="F95" s="352"/>
      <c r="G95" s="352"/>
      <c r="H95" s="352"/>
      <c r="I95" s="133">
        <f>I90</f>
        <v>0</v>
      </c>
      <c r="J95" s="134"/>
      <c r="K95" s="109"/>
      <c r="L95" s="109"/>
    </row>
    <row r="96" spans="1:12" ht="15.75" customHeight="1">
      <c r="A96" s="351" t="s">
        <v>459</v>
      </c>
      <c r="B96" s="351"/>
      <c r="C96" s="351"/>
      <c r="D96" s="351"/>
      <c r="E96" s="351"/>
      <c r="F96" s="351"/>
      <c r="G96" s="351"/>
      <c r="H96" s="351"/>
      <c r="I96" s="129">
        <f>SUM(I94:I95)</f>
        <v>62.739999999999995</v>
      </c>
      <c r="J96" s="134"/>
      <c r="K96" s="109"/>
      <c r="L96" s="109"/>
    </row>
    <row r="97" spans="1:12" ht="15.75" customHeight="1">
      <c r="A97" s="362"/>
      <c r="B97" s="362"/>
      <c r="C97" s="362"/>
      <c r="D97" s="362"/>
      <c r="E97" s="362"/>
      <c r="F97" s="362"/>
      <c r="G97" s="362"/>
      <c r="H97" s="362"/>
      <c r="I97" s="362"/>
      <c r="J97" s="134"/>
      <c r="K97" s="109"/>
      <c r="L97" s="109"/>
    </row>
    <row r="98" spans="1:12" ht="15.75" customHeight="1">
      <c r="A98" s="351" t="s">
        <v>460</v>
      </c>
      <c r="B98" s="351"/>
      <c r="C98" s="351"/>
      <c r="D98" s="351"/>
      <c r="E98" s="351"/>
      <c r="F98" s="351"/>
      <c r="G98" s="351"/>
      <c r="H98" s="351"/>
      <c r="I98" s="351"/>
      <c r="J98" s="134"/>
      <c r="K98" s="109"/>
      <c r="L98" s="109"/>
    </row>
    <row r="99" spans="1:12" ht="15.75" customHeight="1">
      <c r="A99" s="96">
        <v>5</v>
      </c>
      <c r="B99" s="351" t="s">
        <v>461</v>
      </c>
      <c r="C99" s="351"/>
      <c r="D99" s="351"/>
      <c r="E99" s="351"/>
      <c r="F99" s="351"/>
      <c r="G99" s="351"/>
      <c r="H99" s="96"/>
      <c r="I99" s="96" t="s">
        <v>363</v>
      </c>
      <c r="J99" s="134"/>
      <c r="K99" s="109"/>
      <c r="L99" s="109"/>
    </row>
    <row r="100" spans="1:12" ht="15.75" customHeight="1">
      <c r="A100" s="163" t="s">
        <v>319</v>
      </c>
      <c r="B100" s="357" t="s">
        <v>462</v>
      </c>
      <c r="C100" s="357"/>
      <c r="D100" s="357"/>
      <c r="E100" s="357"/>
      <c r="F100" s="357"/>
      <c r="G100" s="357"/>
      <c r="H100" s="164" t="s">
        <v>303</v>
      </c>
      <c r="I100" s="403">
        <v>625.34</v>
      </c>
      <c r="J100" s="134"/>
      <c r="K100" s="109"/>
      <c r="L100" s="109"/>
    </row>
    <row r="101" spans="1:12" ht="15.75" customHeight="1">
      <c r="A101" s="163" t="s">
        <v>322</v>
      </c>
      <c r="B101" s="357" t="s">
        <v>463</v>
      </c>
      <c r="C101" s="357"/>
      <c r="D101" s="357"/>
      <c r="E101" s="357"/>
      <c r="F101" s="357"/>
      <c r="G101" s="357"/>
      <c r="H101" s="164" t="s">
        <v>303</v>
      </c>
      <c r="I101" s="133">
        <f>EPIS!F23</f>
        <v>35.575000000000003</v>
      </c>
      <c r="J101" s="134"/>
      <c r="K101" s="109"/>
      <c r="L101" s="109"/>
    </row>
    <row r="102" spans="1:12" ht="15.75" customHeight="1">
      <c r="A102" s="163" t="s">
        <v>326</v>
      </c>
      <c r="B102" s="357" t="s">
        <v>464</v>
      </c>
      <c r="C102" s="357"/>
      <c r="D102" s="357"/>
      <c r="E102" s="357"/>
      <c r="F102" s="357"/>
      <c r="G102" s="357"/>
      <c r="H102" s="164" t="s">
        <v>303</v>
      </c>
      <c r="I102" s="403">
        <v>32.08</v>
      </c>
      <c r="J102" s="134"/>
      <c r="K102" s="109"/>
      <c r="L102" s="109"/>
    </row>
    <row r="103" spans="1:12" ht="15.75" customHeight="1">
      <c r="A103" s="163" t="s">
        <v>330</v>
      </c>
      <c r="B103" s="357" t="s">
        <v>465</v>
      </c>
      <c r="C103" s="357"/>
      <c r="D103" s="357"/>
      <c r="E103" s="357"/>
      <c r="F103" s="357"/>
      <c r="G103" s="357"/>
      <c r="H103" s="165" t="s">
        <v>303</v>
      </c>
      <c r="I103" s="403">
        <v>0.91</v>
      </c>
      <c r="J103" s="134"/>
      <c r="K103" s="109"/>
      <c r="L103" s="109"/>
    </row>
    <row r="104" spans="1:12" ht="15.75" customHeight="1">
      <c r="A104" s="351" t="s">
        <v>466</v>
      </c>
      <c r="B104" s="351"/>
      <c r="C104" s="351"/>
      <c r="D104" s="351"/>
      <c r="E104" s="351"/>
      <c r="F104" s="351"/>
      <c r="G104" s="351"/>
      <c r="H104" s="98" t="s">
        <v>303</v>
      </c>
      <c r="I104" s="129">
        <f>SUM(I100:I103)</f>
        <v>693.90500000000009</v>
      </c>
      <c r="J104" s="134"/>
      <c r="K104" s="109"/>
      <c r="L104" s="109"/>
    </row>
    <row r="105" spans="1:12" ht="15.75" customHeight="1">
      <c r="A105" s="371" t="s">
        <v>467</v>
      </c>
      <c r="B105" s="371"/>
      <c r="C105" s="371"/>
      <c r="D105" s="371"/>
      <c r="E105" s="371"/>
      <c r="F105" s="371"/>
      <c r="G105" s="358" t="s">
        <v>386</v>
      </c>
      <c r="H105" s="358"/>
      <c r="I105" s="135">
        <f>I29</f>
        <v>1553.96</v>
      </c>
      <c r="J105" s="134"/>
      <c r="K105" s="109"/>
      <c r="L105" s="109"/>
    </row>
    <row r="106" spans="1:12" ht="15.75" customHeight="1">
      <c r="A106" s="371"/>
      <c r="B106" s="371"/>
      <c r="C106" s="371"/>
      <c r="D106" s="371"/>
      <c r="E106" s="371"/>
      <c r="F106" s="371"/>
      <c r="G106" s="358" t="s">
        <v>430</v>
      </c>
      <c r="H106" s="358"/>
      <c r="I106" s="135">
        <f>I62</f>
        <v>1501.4180000000001</v>
      </c>
      <c r="J106" s="134"/>
      <c r="K106" s="109"/>
      <c r="L106" s="109"/>
    </row>
    <row r="107" spans="1:12" ht="15.75" customHeight="1">
      <c r="A107" s="371"/>
      <c r="B107" s="371"/>
      <c r="C107" s="371"/>
      <c r="D107" s="371"/>
      <c r="E107" s="371"/>
      <c r="F107" s="371"/>
      <c r="G107" s="358" t="s">
        <v>440</v>
      </c>
      <c r="H107" s="358"/>
      <c r="I107" s="135">
        <f>I73</f>
        <v>212.04000000000002</v>
      </c>
      <c r="J107" s="134"/>
      <c r="K107" s="109"/>
      <c r="L107" s="109"/>
    </row>
    <row r="108" spans="1:12" ht="15.75" customHeight="1">
      <c r="A108" s="371"/>
      <c r="B108" s="371"/>
      <c r="C108" s="371"/>
      <c r="D108" s="371"/>
      <c r="E108" s="371"/>
      <c r="F108" s="371"/>
      <c r="G108" s="358" t="s">
        <v>468</v>
      </c>
      <c r="H108" s="358"/>
      <c r="I108" s="135">
        <f>I96</f>
        <v>62.739999999999995</v>
      </c>
      <c r="J108" s="134"/>
      <c r="K108" s="141"/>
      <c r="L108" s="141"/>
    </row>
    <row r="109" spans="1:12" ht="15.75" customHeight="1">
      <c r="A109" s="371"/>
      <c r="B109" s="371"/>
      <c r="C109" s="371"/>
      <c r="D109" s="371"/>
      <c r="E109" s="371"/>
      <c r="F109" s="371"/>
      <c r="G109" s="358" t="s">
        <v>469</v>
      </c>
      <c r="H109" s="358"/>
      <c r="I109" s="135">
        <f>I104</f>
        <v>693.90500000000009</v>
      </c>
      <c r="J109" s="134"/>
      <c r="K109" s="141"/>
      <c r="L109" s="141"/>
    </row>
    <row r="110" spans="1:12" ht="15.75" customHeight="1">
      <c r="A110" s="371"/>
      <c r="B110" s="371"/>
      <c r="C110" s="371"/>
      <c r="D110" s="371"/>
      <c r="E110" s="371"/>
      <c r="F110" s="371"/>
      <c r="G110" s="359" t="s">
        <v>389</v>
      </c>
      <c r="H110" s="359"/>
      <c r="I110" s="140">
        <f>SUM(I105:I109)</f>
        <v>4024.0630000000001</v>
      </c>
      <c r="J110" s="134"/>
      <c r="K110" s="109"/>
      <c r="L110" s="109"/>
    </row>
    <row r="111" spans="1:12" ht="15.75" customHeight="1">
      <c r="A111" s="351" t="s">
        <v>470</v>
      </c>
      <c r="B111" s="351"/>
      <c r="C111" s="351"/>
      <c r="D111" s="351"/>
      <c r="E111" s="351"/>
      <c r="F111" s="351"/>
      <c r="G111" s="351"/>
      <c r="H111" s="351"/>
      <c r="I111" s="351"/>
      <c r="J111" s="134"/>
      <c r="K111" s="109"/>
      <c r="L111" s="109"/>
    </row>
    <row r="112" spans="1:12" ht="15.75" customHeight="1">
      <c r="A112" s="96">
        <v>6</v>
      </c>
      <c r="B112" s="351" t="s">
        <v>471</v>
      </c>
      <c r="C112" s="351"/>
      <c r="D112" s="351"/>
      <c r="E112" s="351"/>
      <c r="F112" s="351"/>
      <c r="G112" s="351"/>
      <c r="H112" s="96" t="s">
        <v>362</v>
      </c>
      <c r="I112" s="96" t="s">
        <v>363</v>
      </c>
      <c r="J112" s="134"/>
      <c r="K112" s="109"/>
      <c r="L112" s="109"/>
    </row>
    <row r="113" spans="1:12" ht="15.75" customHeight="1">
      <c r="A113" s="95" t="s">
        <v>319</v>
      </c>
      <c r="B113" s="352" t="s">
        <v>472</v>
      </c>
      <c r="C113" s="352"/>
      <c r="D113" s="352"/>
      <c r="E113" s="352"/>
      <c r="F113" s="352"/>
      <c r="G113" s="352"/>
      <c r="H113" s="166">
        <v>1.4999999999999999E-2</v>
      </c>
      <c r="I113" s="133">
        <f>ROUND(H113*I110,2)</f>
        <v>60.36</v>
      </c>
      <c r="J113" s="134"/>
      <c r="K113" s="109"/>
      <c r="L113" s="109"/>
    </row>
    <row r="114" spans="1:12" ht="15.75" customHeight="1">
      <c r="A114" s="95" t="s">
        <v>322</v>
      </c>
      <c r="B114" s="352" t="s">
        <v>473</v>
      </c>
      <c r="C114" s="352"/>
      <c r="D114" s="352"/>
      <c r="E114" s="352"/>
      <c r="F114" s="352"/>
      <c r="G114" s="352"/>
      <c r="H114" s="166">
        <v>1.4999999999999999E-2</v>
      </c>
      <c r="I114" s="133">
        <f>ROUND(H114*(I110+I113),2)</f>
        <v>61.27</v>
      </c>
      <c r="J114" s="134"/>
      <c r="K114" s="109"/>
      <c r="L114" s="109"/>
    </row>
    <row r="115" spans="1:12" ht="15.75" customHeight="1">
      <c r="A115" s="95" t="s">
        <v>326</v>
      </c>
      <c r="B115" s="364" t="s">
        <v>474</v>
      </c>
      <c r="C115" s="364"/>
      <c r="D115" s="364"/>
      <c r="E115" s="364"/>
      <c r="F115" s="364"/>
      <c r="G115" s="364"/>
      <c r="H115" s="97"/>
      <c r="I115" s="184"/>
      <c r="J115" s="134"/>
      <c r="K115" s="109"/>
      <c r="L115" s="109"/>
    </row>
    <row r="116" spans="1:12" ht="15.75" customHeight="1">
      <c r="A116" s="95" t="s">
        <v>475</v>
      </c>
      <c r="B116" s="352" t="s">
        <v>476</v>
      </c>
      <c r="C116" s="352"/>
      <c r="D116" s="352"/>
      <c r="E116" s="352"/>
      <c r="F116" s="352"/>
      <c r="G116" s="352"/>
      <c r="H116" s="404">
        <v>5.7999999999999996E-3</v>
      </c>
      <c r="I116" s="133">
        <f>ROUND($I$126*H116,2)</f>
        <v>26.2</v>
      </c>
      <c r="J116" s="134"/>
      <c r="K116" s="109"/>
      <c r="L116" s="109"/>
    </row>
    <row r="117" spans="1:12" ht="15.75" customHeight="1">
      <c r="A117" s="95" t="s">
        <v>477</v>
      </c>
      <c r="B117" s="352" t="s">
        <v>376</v>
      </c>
      <c r="C117" s="352"/>
      <c r="D117" s="352"/>
      <c r="E117" s="352"/>
      <c r="F117" s="352"/>
      <c r="G117" s="352"/>
      <c r="H117" s="404">
        <v>2.6599999999999999E-2</v>
      </c>
      <c r="I117" s="133">
        <f>ROUND($I$126*H117,2)</f>
        <v>120.18</v>
      </c>
      <c r="J117" s="134"/>
      <c r="K117" s="109"/>
      <c r="L117" s="109"/>
    </row>
    <row r="118" spans="1:12" ht="15.75" customHeight="1">
      <c r="A118" s="95" t="s">
        <v>478</v>
      </c>
      <c r="B118" s="352" t="s">
        <v>479</v>
      </c>
      <c r="C118" s="352"/>
      <c r="D118" s="352"/>
      <c r="E118" s="352"/>
      <c r="F118" s="352"/>
      <c r="G118" s="352"/>
      <c r="H118" s="167">
        <v>0.05</v>
      </c>
      <c r="I118" s="133">
        <f>ROUND($I$126*H118,2)</f>
        <v>225.9</v>
      </c>
      <c r="J118" s="134"/>
      <c r="K118" s="109"/>
      <c r="L118" s="109"/>
    </row>
    <row r="119" spans="1:12" ht="15.75" customHeight="1">
      <c r="A119" s="351" t="s">
        <v>480</v>
      </c>
      <c r="B119" s="351"/>
      <c r="C119" s="351"/>
      <c r="D119" s="351"/>
      <c r="E119" s="351"/>
      <c r="F119" s="351"/>
      <c r="G119" s="351"/>
      <c r="H119" s="168">
        <f>SUM(H113:H118)</f>
        <v>0.1124</v>
      </c>
      <c r="I119" s="129">
        <f>SUM(I113:I118)</f>
        <v>493.90999999999997</v>
      </c>
      <c r="J119" s="134"/>
      <c r="K119" s="109"/>
      <c r="L119" s="109"/>
    </row>
    <row r="120" spans="1:12" ht="15.75" customHeight="1">
      <c r="A120" s="192"/>
      <c r="B120" s="377"/>
      <c r="C120" s="377"/>
      <c r="D120" s="377"/>
      <c r="E120" s="377"/>
      <c r="F120" s="377"/>
      <c r="G120" s="377"/>
      <c r="H120" s="377"/>
      <c r="I120" s="377"/>
      <c r="J120" s="134"/>
      <c r="K120" s="109"/>
      <c r="L120" s="109"/>
    </row>
    <row r="121" spans="1:12" ht="15.75" customHeight="1">
      <c r="A121" s="172" t="s">
        <v>481</v>
      </c>
      <c r="B121" s="365" t="s">
        <v>482</v>
      </c>
      <c r="C121" s="365"/>
      <c r="D121" s="365"/>
      <c r="E121" s="365"/>
      <c r="F121" s="365"/>
      <c r="G121" s="365"/>
      <c r="H121" s="174">
        <f>SUM(H116+H117+H118)</f>
        <v>8.2400000000000001E-2</v>
      </c>
      <c r="I121" s="186"/>
      <c r="J121" s="134"/>
      <c r="K121" s="109"/>
      <c r="L121" s="109"/>
    </row>
    <row r="122" spans="1:12" ht="15.75" customHeight="1">
      <c r="A122" s="172"/>
      <c r="B122" s="365">
        <v>100</v>
      </c>
      <c r="C122" s="365"/>
      <c r="D122" s="365"/>
      <c r="E122" s="365"/>
      <c r="F122" s="365"/>
      <c r="G122" s="365"/>
      <c r="H122" s="174"/>
      <c r="I122" s="186"/>
      <c r="J122" s="134"/>
      <c r="K122" s="109"/>
      <c r="L122" s="109"/>
    </row>
    <row r="123" spans="1:12" ht="15.75" customHeight="1">
      <c r="A123" s="175"/>
      <c r="B123" s="173"/>
      <c r="C123" s="173"/>
      <c r="D123" s="173"/>
      <c r="E123" s="173"/>
      <c r="F123" s="173"/>
      <c r="G123" s="173"/>
      <c r="H123" s="174"/>
      <c r="I123" s="186"/>
      <c r="J123" s="134"/>
      <c r="K123" s="141"/>
      <c r="L123" s="141"/>
    </row>
    <row r="124" spans="1:12" ht="15.75" customHeight="1">
      <c r="A124" s="172" t="s">
        <v>483</v>
      </c>
      <c r="B124" s="365" t="s">
        <v>484</v>
      </c>
      <c r="C124" s="365"/>
      <c r="D124" s="365"/>
      <c r="E124" s="365"/>
      <c r="F124" s="365"/>
      <c r="G124" s="365"/>
      <c r="H124" s="174"/>
      <c r="I124" s="186">
        <f>I110+I113+I114</f>
        <v>4145.6930000000002</v>
      </c>
      <c r="J124" s="134"/>
      <c r="K124" s="109"/>
      <c r="L124" s="109"/>
    </row>
    <row r="125" spans="1:12" ht="15.75" customHeight="1">
      <c r="A125" s="172"/>
      <c r="B125" s="173"/>
      <c r="C125" s="173"/>
      <c r="D125" s="173"/>
      <c r="E125" s="173"/>
      <c r="F125" s="173"/>
      <c r="G125" s="173"/>
      <c r="H125" s="174"/>
      <c r="I125" s="186"/>
      <c r="J125" s="134"/>
      <c r="K125" s="109"/>
      <c r="L125" s="109"/>
    </row>
    <row r="126" spans="1:12" ht="15.75" customHeight="1">
      <c r="A126" s="172" t="s">
        <v>485</v>
      </c>
      <c r="B126" s="365" t="s">
        <v>486</v>
      </c>
      <c r="C126" s="365"/>
      <c r="D126" s="365"/>
      <c r="E126" s="365"/>
      <c r="F126" s="365"/>
      <c r="G126" s="365"/>
      <c r="H126" s="174"/>
      <c r="I126" s="186">
        <f>ROUND(I124/(1-H121),2)</f>
        <v>4517.97</v>
      </c>
      <c r="J126" s="134"/>
      <c r="K126" s="109"/>
      <c r="L126" s="109"/>
    </row>
    <row r="127" spans="1:12" ht="15.75" customHeight="1">
      <c r="A127" s="172"/>
      <c r="B127" s="173"/>
      <c r="C127" s="173"/>
      <c r="D127" s="173"/>
      <c r="E127" s="173"/>
      <c r="F127" s="173"/>
      <c r="G127" s="173"/>
      <c r="H127" s="174"/>
      <c r="I127" s="186"/>
      <c r="J127" s="134"/>
      <c r="K127" s="109"/>
      <c r="L127" s="109"/>
    </row>
    <row r="128" spans="1:12" ht="15.75" customHeight="1">
      <c r="A128" s="172"/>
      <c r="B128" s="365" t="s">
        <v>487</v>
      </c>
      <c r="C128" s="365"/>
      <c r="D128" s="365"/>
      <c r="E128" s="365"/>
      <c r="F128" s="365"/>
      <c r="G128" s="365"/>
      <c r="H128" s="174"/>
      <c r="I128" s="186">
        <f>I126-I124</f>
        <v>372.27700000000004</v>
      </c>
      <c r="J128" s="134"/>
      <c r="K128" s="109"/>
      <c r="L128" s="109"/>
    </row>
    <row r="129" spans="1:12" ht="15.75" customHeight="1">
      <c r="A129" s="192"/>
      <c r="B129" s="193"/>
      <c r="C129" s="193"/>
      <c r="D129" s="193"/>
      <c r="E129" s="193"/>
      <c r="F129" s="193"/>
      <c r="G129" s="193"/>
      <c r="H129" s="193"/>
      <c r="I129" s="198"/>
      <c r="J129" s="134"/>
      <c r="K129" s="109"/>
      <c r="L129" s="109"/>
    </row>
    <row r="130" spans="1:12" ht="15.75" customHeight="1">
      <c r="A130" s="351" t="s">
        <v>488</v>
      </c>
      <c r="B130" s="351"/>
      <c r="C130" s="351"/>
      <c r="D130" s="351"/>
      <c r="E130" s="351"/>
      <c r="F130" s="351"/>
      <c r="G130" s="351"/>
      <c r="H130" s="351"/>
      <c r="I130" s="351"/>
      <c r="J130" s="134"/>
      <c r="K130" s="109"/>
      <c r="L130" s="109"/>
    </row>
    <row r="131" spans="1:12" ht="15.75" customHeight="1">
      <c r="A131" s="351" t="s">
        <v>489</v>
      </c>
      <c r="B131" s="351"/>
      <c r="C131" s="351"/>
      <c r="D131" s="351"/>
      <c r="E131" s="351"/>
      <c r="F131" s="351"/>
      <c r="G131" s="351"/>
      <c r="H131" s="351"/>
      <c r="I131" s="96" t="s">
        <v>363</v>
      </c>
      <c r="J131" s="134"/>
      <c r="K131" s="141"/>
      <c r="L131" s="141"/>
    </row>
    <row r="132" spans="1:12" ht="15.75" customHeight="1">
      <c r="A132" s="63" t="s">
        <v>319</v>
      </c>
      <c r="B132" s="352" t="str">
        <f>A21</f>
        <v>MÓDULO 1 - COMPOSIÇÃO DA REMUNERAÇÃO</v>
      </c>
      <c r="C132" s="352"/>
      <c r="D132" s="352"/>
      <c r="E132" s="352"/>
      <c r="F132" s="352"/>
      <c r="G132" s="352"/>
      <c r="H132" s="352"/>
      <c r="I132" s="189">
        <f>I29</f>
        <v>1553.96</v>
      </c>
      <c r="J132" s="134"/>
      <c r="K132" s="141"/>
      <c r="L132" s="141"/>
    </row>
    <row r="133" spans="1:12" ht="15.75" customHeight="1">
      <c r="A133" s="63" t="s">
        <v>322</v>
      </c>
      <c r="B133" s="352" t="str">
        <f>A31</f>
        <v>MÓDULO 2 – ENCARGOS E BENEFÍCIOS ANUAIS, MENSAIS E DIÁRIOS</v>
      </c>
      <c r="C133" s="352"/>
      <c r="D133" s="352"/>
      <c r="E133" s="352"/>
      <c r="F133" s="352"/>
      <c r="G133" s="352"/>
      <c r="H133" s="352"/>
      <c r="I133" s="189">
        <f>I62</f>
        <v>1501.4180000000001</v>
      </c>
      <c r="J133" s="134"/>
      <c r="K133" s="141"/>
      <c r="L133" s="141"/>
    </row>
    <row r="134" spans="1:12" ht="15.75" customHeight="1">
      <c r="A134" s="63" t="s">
        <v>326</v>
      </c>
      <c r="B134" s="352" t="str">
        <f>A66</f>
        <v>MÓDULO 3 – PROVISÃO PARA RESCISÃO</v>
      </c>
      <c r="C134" s="352"/>
      <c r="D134" s="352"/>
      <c r="E134" s="352"/>
      <c r="F134" s="352"/>
      <c r="G134" s="352"/>
      <c r="H134" s="352"/>
      <c r="I134" s="189">
        <f>I73</f>
        <v>212.04000000000002</v>
      </c>
      <c r="J134" s="134"/>
      <c r="K134" s="100"/>
      <c r="L134" s="100"/>
    </row>
    <row r="135" spans="1:12" ht="15.75" customHeight="1">
      <c r="A135" s="63" t="s">
        <v>330</v>
      </c>
      <c r="B135" s="352" t="str">
        <f>A78</f>
        <v>MÓDULO 4 – CUSTO DE REPOSIÇÃO DO PROFISSIONAL AUSENTE</v>
      </c>
      <c r="C135" s="352"/>
      <c r="D135" s="352"/>
      <c r="E135" s="352"/>
      <c r="F135" s="352"/>
      <c r="G135" s="352"/>
      <c r="H135" s="352"/>
      <c r="I135" s="189">
        <f>I96</f>
        <v>62.739999999999995</v>
      </c>
      <c r="J135" s="190"/>
      <c r="K135" s="100"/>
      <c r="L135" s="100"/>
    </row>
    <row r="136" spans="1:12" ht="15.75" customHeight="1">
      <c r="A136" s="63" t="s">
        <v>372</v>
      </c>
      <c r="B136" s="352" t="str">
        <f>A98</f>
        <v>MÓDULO 5 – INSUMOS DIVERSOS</v>
      </c>
      <c r="C136" s="352"/>
      <c r="D136" s="352"/>
      <c r="E136" s="352"/>
      <c r="F136" s="352"/>
      <c r="G136" s="352"/>
      <c r="H136" s="352"/>
      <c r="I136" s="189">
        <f>I104</f>
        <v>693.90500000000009</v>
      </c>
      <c r="J136" s="134"/>
      <c r="K136" s="100"/>
      <c r="L136" s="100"/>
    </row>
    <row r="137" spans="1:12" ht="15.75" customHeight="1">
      <c r="A137" s="351" t="s">
        <v>490</v>
      </c>
      <c r="B137" s="351"/>
      <c r="C137" s="351"/>
      <c r="D137" s="351"/>
      <c r="E137" s="351"/>
      <c r="F137" s="351"/>
      <c r="G137" s="351"/>
      <c r="H137" s="351"/>
      <c r="I137" s="129">
        <f>SUM(I132:I136)</f>
        <v>4024.0630000000001</v>
      </c>
      <c r="J137" s="134"/>
    </row>
    <row r="138" spans="1:12" ht="15.75" customHeight="1">
      <c r="A138" s="63" t="s">
        <v>374</v>
      </c>
      <c r="B138" s="352" t="str">
        <f>A111</f>
        <v>MÓDULO 6 – CUSTOS INDIRETOS, TRIBUTOS E LUCRO</v>
      </c>
      <c r="C138" s="352"/>
      <c r="D138" s="352"/>
      <c r="E138" s="352"/>
      <c r="F138" s="352"/>
      <c r="G138" s="352"/>
      <c r="H138" s="352"/>
      <c r="I138" s="189">
        <f>I119</f>
        <v>493.90999999999997</v>
      </c>
      <c r="J138" s="191">
        <f>SUM(J28:J137)</f>
        <v>2851.2740400000002</v>
      </c>
    </row>
    <row r="139" spans="1:12" ht="15.75" customHeight="1">
      <c r="A139" s="351" t="s">
        <v>491</v>
      </c>
      <c r="B139" s="351"/>
      <c r="C139" s="351"/>
      <c r="D139" s="351"/>
      <c r="E139" s="351"/>
      <c r="F139" s="351"/>
      <c r="G139" s="351"/>
      <c r="H139" s="351"/>
      <c r="I139" s="129">
        <f>SUM(I137:I138)</f>
        <v>4517.973</v>
      </c>
    </row>
    <row r="140" spans="1:12" ht="15.75" customHeight="1"/>
    <row r="141" spans="1:12" ht="15.75" customHeight="1"/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0"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0:I120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2" firstPageNumber="0" orientation="portrait" useFirstPageNumber="1" horizontalDpi="300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97"/>
  <sheetViews>
    <sheetView topLeftCell="C90" zoomScale="60" zoomScaleNormal="60" workbookViewId="0">
      <selection activeCell="B116" sqref="B116:G116"/>
    </sheetView>
  </sheetViews>
  <sheetFormatPr defaultColWidth="9" defaultRowHeight="15"/>
  <cols>
    <col min="1" max="1" width="7.42578125" customWidth="1"/>
    <col min="2" max="2" width="9" customWidth="1"/>
    <col min="3" max="3" width="14.140625" customWidth="1"/>
    <col min="4" max="4" width="12" customWidth="1"/>
    <col min="5" max="5" width="12.42578125" customWidth="1"/>
    <col min="6" max="6" width="11.42578125"/>
    <col min="7" max="7" width="15.140625" customWidth="1"/>
    <col min="8" max="8" width="14.7109375" customWidth="1"/>
    <col min="9" max="9" width="28.140625" customWidth="1"/>
    <col min="10" max="10" width="37.5703125" customWidth="1"/>
    <col min="11" max="11" width="38.140625" customWidth="1"/>
    <col min="12" max="12" width="31.42578125" customWidth="1"/>
    <col min="13" max="26" width="8.7109375" customWidth="1"/>
    <col min="27" max="1025" width="14.42578125" customWidth="1"/>
  </cols>
  <sheetData>
    <row r="1" spans="1:12" ht="15.75">
      <c r="A1" s="348" t="s">
        <v>502</v>
      </c>
      <c r="B1" s="348"/>
      <c r="C1" s="348"/>
      <c r="D1" s="348"/>
      <c r="E1" s="348"/>
      <c r="F1" s="348"/>
      <c r="G1" s="348"/>
      <c r="H1" s="348"/>
      <c r="I1" s="348"/>
      <c r="J1" s="366" t="s">
        <v>315</v>
      </c>
      <c r="K1" s="100"/>
      <c r="L1" s="100"/>
    </row>
    <row r="2" spans="1:12" ht="15.75">
      <c r="A2" s="349"/>
      <c r="B2" s="349"/>
      <c r="C2" s="349"/>
      <c r="D2" s="349"/>
      <c r="E2" s="349"/>
      <c r="F2" s="349"/>
      <c r="G2" s="349"/>
      <c r="H2" s="349"/>
      <c r="I2" s="349"/>
      <c r="J2" s="366"/>
      <c r="K2" s="100"/>
      <c r="L2" s="100"/>
    </row>
    <row r="3" spans="1:12" ht="15.75">
      <c r="A3" s="348" t="s">
        <v>316</v>
      </c>
      <c r="B3" s="348"/>
      <c r="C3" s="348"/>
      <c r="D3" s="348"/>
      <c r="E3" s="348"/>
      <c r="F3" s="348"/>
      <c r="G3" s="348"/>
      <c r="H3" s="350" t="s">
        <v>317</v>
      </c>
      <c r="I3" s="350"/>
      <c r="J3" s="366"/>
      <c r="K3" s="100"/>
      <c r="L3" s="100"/>
    </row>
    <row r="4" spans="1:12" ht="15.75">
      <c r="A4" s="348"/>
      <c r="B4" s="348"/>
      <c r="C4" s="348"/>
      <c r="D4" s="348"/>
      <c r="E4" s="348"/>
      <c r="F4" s="348"/>
      <c r="G4" s="348"/>
      <c r="H4" s="348"/>
      <c r="I4" s="348"/>
      <c r="J4" s="366"/>
      <c r="K4" s="101"/>
      <c r="L4" s="101"/>
    </row>
    <row r="5" spans="1:12" ht="15.75">
      <c r="A5" s="351" t="s">
        <v>318</v>
      </c>
      <c r="B5" s="351"/>
      <c r="C5" s="351"/>
      <c r="D5" s="351"/>
      <c r="E5" s="351"/>
      <c r="F5" s="351"/>
      <c r="G5" s="351"/>
      <c r="H5" s="351"/>
      <c r="I5" s="351"/>
      <c r="J5" s="366"/>
      <c r="K5" s="100"/>
      <c r="L5" s="100"/>
    </row>
    <row r="6" spans="1:12" ht="15.75">
      <c r="A6" s="63" t="s">
        <v>319</v>
      </c>
      <c r="B6" s="352" t="s">
        <v>320</v>
      </c>
      <c r="C6" s="352"/>
      <c r="D6" s="352"/>
      <c r="E6" s="352"/>
      <c r="F6" s="352"/>
      <c r="G6" s="352"/>
      <c r="H6" s="352"/>
      <c r="I6" s="102"/>
      <c r="J6" s="366"/>
      <c r="K6" s="103" t="s">
        <v>321</v>
      </c>
      <c r="L6" s="104"/>
    </row>
    <row r="7" spans="1:12" ht="15.75">
      <c r="A7" s="63" t="s">
        <v>322</v>
      </c>
      <c r="B7" s="352" t="s">
        <v>323</v>
      </c>
      <c r="C7" s="352"/>
      <c r="D7" s="352"/>
      <c r="E7" s="352"/>
      <c r="F7" s="352"/>
      <c r="G7" s="352"/>
      <c r="H7" s="352"/>
      <c r="I7" s="63" t="s">
        <v>324</v>
      </c>
      <c r="J7" s="366"/>
      <c r="K7" s="105" t="s">
        <v>325</v>
      </c>
      <c r="L7" s="106"/>
    </row>
    <row r="8" spans="1:12" ht="15.75">
      <c r="A8" s="63" t="s">
        <v>326</v>
      </c>
      <c r="B8" s="352" t="s">
        <v>327</v>
      </c>
      <c r="C8" s="352"/>
      <c r="D8" s="352"/>
      <c r="E8" s="352"/>
      <c r="F8" s="352"/>
      <c r="G8" s="352"/>
      <c r="H8" s="352"/>
      <c r="I8" s="63" t="s">
        <v>328</v>
      </c>
      <c r="J8" s="366"/>
      <c r="K8" s="107" t="s">
        <v>329</v>
      </c>
      <c r="L8" s="108">
        <f>J138</f>
        <v>3300.0837999999999</v>
      </c>
    </row>
    <row r="9" spans="1:12" ht="15.75">
      <c r="A9" s="63" t="s">
        <v>330</v>
      </c>
      <c r="B9" s="352" t="s">
        <v>331</v>
      </c>
      <c r="C9" s="352"/>
      <c r="D9" s="352"/>
      <c r="E9" s="352"/>
      <c r="F9" s="352"/>
      <c r="G9" s="352"/>
      <c r="H9" s="352"/>
      <c r="I9" s="63">
        <v>12</v>
      </c>
      <c r="J9" s="366"/>
      <c r="K9" s="109"/>
      <c r="L9" s="109"/>
    </row>
    <row r="10" spans="1:12" ht="15.75">
      <c r="A10" s="353"/>
      <c r="B10" s="353"/>
      <c r="C10" s="353"/>
      <c r="D10" s="353"/>
      <c r="E10" s="353"/>
      <c r="F10" s="353"/>
      <c r="G10" s="353"/>
      <c r="H10" s="353"/>
      <c r="I10" s="353"/>
      <c r="J10" s="366"/>
      <c r="K10" s="103" t="s">
        <v>332</v>
      </c>
      <c r="L10" s="104"/>
    </row>
    <row r="11" spans="1:12" ht="12.75" customHeight="1">
      <c r="A11" s="351" t="s">
        <v>333</v>
      </c>
      <c r="B11" s="351"/>
      <c r="C11" s="351"/>
      <c r="D11" s="351"/>
      <c r="E11" s="351"/>
      <c r="F11" s="351"/>
      <c r="G11" s="351"/>
      <c r="H11" s="351"/>
      <c r="I11" s="351"/>
      <c r="J11" s="366"/>
      <c r="K11" s="110" t="s">
        <v>334</v>
      </c>
      <c r="L11" s="111"/>
    </row>
    <row r="12" spans="1:12" ht="15.75">
      <c r="A12" s="350" t="s">
        <v>335</v>
      </c>
      <c r="B12" s="350"/>
      <c r="C12" s="350" t="s">
        <v>336</v>
      </c>
      <c r="D12" s="350"/>
      <c r="E12" s="350" t="s">
        <v>337</v>
      </c>
      <c r="F12" s="350"/>
      <c r="G12" s="350"/>
      <c r="H12" s="350"/>
      <c r="I12" s="350"/>
      <c r="J12" s="366"/>
      <c r="K12" s="112" t="s">
        <v>338</v>
      </c>
      <c r="L12" s="113">
        <v>0.11</v>
      </c>
    </row>
    <row r="13" spans="1:12" ht="15.75">
      <c r="A13" s="354" t="s">
        <v>339</v>
      </c>
      <c r="B13" s="354"/>
      <c r="C13" s="355" t="s">
        <v>499</v>
      </c>
      <c r="D13" s="355"/>
      <c r="E13" s="350"/>
      <c r="F13" s="350"/>
      <c r="G13" s="350"/>
      <c r="H13" s="350"/>
      <c r="I13" s="350"/>
      <c r="J13" s="366"/>
      <c r="K13" s="114" t="s">
        <v>341</v>
      </c>
      <c r="L13" s="115">
        <f>I52</f>
        <v>473.82</v>
      </c>
    </row>
    <row r="14" spans="1:12" ht="15.75">
      <c r="A14" s="351" t="s">
        <v>342</v>
      </c>
      <c r="B14" s="351"/>
      <c r="C14" s="351"/>
      <c r="D14" s="351"/>
      <c r="E14" s="351"/>
      <c r="F14" s="351"/>
      <c r="G14" s="351"/>
      <c r="H14" s="351"/>
      <c r="I14" s="351"/>
      <c r="J14" s="366"/>
      <c r="K14" s="114" t="s">
        <v>343</v>
      </c>
      <c r="L14" s="115">
        <f>I104</f>
        <v>693.90500000000009</v>
      </c>
    </row>
    <row r="15" spans="1:12" ht="26.25">
      <c r="A15" s="63">
        <v>1</v>
      </c>
      <c r="B15" s="352" t="s">
        <v>344</v>
      </c>
      <c r="C15" s="352"/>
      <c r="D15" s="352"/>
      <c r="E15" s="352"/>
      <c r="F15" s="352"/>
      <c r="G15" s="352"/>
      <c r="H15" s="352"/>
      <c r="I15" s="69" t="s">
        <v>500</v>
      </c>
      <c r="J15" s="366"/>
      <c r="K15" s="114" t="s">
        <v>346</v>
      </c>
      <c r="L15" s="115">
        <f>I51</f>
        <v>0</v>
      </c>
    </row>
    <row r="16" spans="1:12" ht="15.75">
      <c r="A16" s="63">
        <v>2</v>
      </c>
      <c r="B16" s="352" t="s">
        <v>347</v>
      </c>
      <c r="C16" s="352"/>
      <c r="D16" s="352"/>
      <c r="E16" s="352"/>
      <c r="F16" s="352"/>
      <c r="G16" s="352"/>
      <c r="H16" s="352"/>
      <c r="I16" s="63" t="s">
        <v>501</v>
      </c>
      <c r="J16" s="366"/>
      <c r="K16" s="116" t="s">
        <v>349</v>
      </c>
      <c r="L16" s="117">
        <f>SUM(L13:L15)</f>
        <v>1167.7250000000001</v>
      </c>
    </row>
    <row r="17" spans="1:12" ht="15.75">
      <c r="A17" s="63">
        <v>3</v>
      </c>
      <c r="B17" s="352" t="s">
        <v>350</v>
      </c>
      <c r="C17" s="352"/>
      <c r="D17" s="352"/>
      <c r="E17" s="352"/>
      <c r="F17" s="352"/>
      <c r="G17" s="352"/>
      <c r="H17" s="352"/>
      <c r="I17" s="64">
        <v>1553.96</v>
      </c>
      <c r="J17" s="366"/>
      <c r="K17" s="114" t="s">
        <v>351</v>
      </c>
      <c r="L17" s="118">
        <f>I139</f>
        <v>5121.0730000000003</v>
      </c>
    </row>
    <row r="18" spans="1:12" ht="51">
      <c r="A18" s="6">
        <v>4</v>
      </c>
      <c r="B18" s="356" t="s">
        <v>352</v>
      </c>
      <c r="C18" s="356"/>
      <c r="D18" s="356"/>
      <c r="E18" s="356"/>
      <c r="F18" s="356"/>
      <c r="G18" s="356"/>
      <c r="H18" s="356"/>
      <c r="I18" s="13" t="s">
        <v>353</v>
      </c>
      <c r="J18" s="366"/>
      <c r="K18" s="119" t="s">
        <v>354</v>
      </c>
      <c r="L18" s="120">
        <f>L17-L16</f>
        <v>3953.348</v>
      </c>
    </row>
    <row r="19" spans="1:12" ht="15.75">
      <c r="A19" s="63">
        <v>5</v>
      </c>
      <c r="B19" s="352" t="s">
        <v>355</v>
      </c>
      <c r="C19" s="352"/>
      <c r="D19" s="352"/>
      <c r="E19" s="352"/>
      <c r="F19" s="352"/>
      <c r="G19" s="352"/>
      <c r="H19" s="352"/>
      <c r="I19" s="102" t="s">
        <v>356</v>
      </c>
      <c r="J19" s="366"/>
      <c r="K19" s="121" t="s">
        <v>357</v>
      </c>
      <c r="L19" s="122">
        <f>L18*11%</f>
        <v>434.86827999999997</v>
      </c>
    </row>
    <row r="20" spans="1:12" ht="15.75">
      <c r="A20" s="357"/>
      <c r="B20" s="357"/>
      <c r="C20" s="357"/>
      <c r="D20" s="357"/>
      <c r="E20" s="357"/>
      <c r="F20" s="357"/>
      <c r="G20" s="357"/>
      <c r="H20" s="357"/>
      <c r="I20" s="357"/>
      <c r="J20" s="366"/>
      <c r="K20" s="112" t="s">
        <v>358</v>
      </c>
      <c r="L20" s="123"/>
    </row>
    <row r="21" spans="1:12" ht="15.75" customHeight="1">
      <c r="A21" s="351" t="s">
        <v>359</v>
      </c>
      <c r="B21" s="351"/>
      <c r="C21" s="351"/>
      <c r="D21" s="351"/>
      <c r="E21" s="351"/>
      <c r="F21" s="351"/>
      <c r="G21" s="351"/>
      <c r="H21" s="351"/>
      <c r="I21" s="351"/>
      <c r="J21" s="366"/>
      <c r="K21" s="124" t="s">
        <v>360</v>
      </c>
      <c r="L21" s="125">
        <v>1.2E-2</v>
      </c>
    </row>
    <row r="22" spans="1:12" ht="15.75" customHeight="1">
      <c r="A22" s="95">
        <v>1</v>
      </c>
      <c r="B22" s="351" t="s">
        <v>361</v>
      </c>
      <c r="C22" s="351"/>
      <c r="D22" s="351"/>
      <c r="E22" s="351"/>
      <c r="F22" s="351"/>
      <c r="G22" s="351"/>
      <c r="H22" s="96" t="s">
        <v>362</v>
      </c>
      <c r="I22" s="96" t="s">
        <v>363</v>
      </c>
      <c r="J22" s="366"/>
      <c r="K22" s="126" t="s">
        <v>364</v>
      </c>
      <c r="L22" s="127">
        <v>4.8000000000000001E-2</v>
      </c>
    </row>
    <row r="23" spans="1:12" ht="15.75" customHeight="1">
      <c r="A23" s="95" t="s">
        <v>319</v>
      </c>
      <c r="B23" s="352" t="s">
        <v>365</v>
      </c>
      <c r="C23" s="352"/>
      <c r="D23" s="352"/>
      <c r="E23" s="352"/>
      <c r="F23" s="352"/>
      <c r="G23" s="352"/>
      <c r="H23" s="62"/>
      <c r="I23" s="128">
        <f>I17</f>
        <v>1553.96</v>
      </c>
      <c r="J23" s="366"/>
      <c r="K23" s="114" t="s">
        <v>366</v>
      </c>
      <c r="L23" s="118">
        <f>L17</f>
        <v>5121.0730000000003</v>
      </c>
    </row>
    <row r="24" spans="1:12" ht="15.75" customHeight="1">
      <c r="A24" s="95" t="s">
        <v>322</v>
      </c>
      <c r="B24" s="352" t="s">
        <v>367</v>
      </c>
      <c r="C24" s="352"/>
      <c r="D24" s="352"/>
      <c r="E24" s="352"/>
      <c r="F24" s="352"/>
      <c r="G24" s="352"/>
      <c r="H24" s="97"/>
      <c r="I24" s="128">
        <v>0</v>
      </c>
      <c r="J24" s="366"/>
      <c r="K24" s="121" t="s">
        <v>368</v>
      </c>
      <c r="L24" s="122">
        <f>L23*L21</f>
        <v>61.452876000000003</v>
      </c>
    </row>
    <row r="25" spans="1:12" ht="15.75" customHeight="1">
      <c r="A25" s="95" t="s">
        <v>326</v>
      </c>
      <c r="B25" s="352" t="s">
        <v>369</v>
      </c>
      <c r="C25" s="352"/>
      <c r="D25" s="352"/>
      <c r="E25" s="352"/>
      <c r="F25" s="352"/>
      <c r="G25" s="352"/>
      <c r="H25" s="97">
        <v>0.2</v>
      </c>
      <c r="I25" s="128">
        <f>ROUND(1518*20%,2)</f>
        <v>303.60000000000002</v>
      </c>
      <c r="J25" s="366"/>
      <c r="K25" s="112" t="s">
        <v>370</v>
      </c>
      <c r="L25" s="113">
        <v>0.01</v>
      </c>
    </row>
    <row r="26" spans="1:12" ht="15.75" customHeight="1">
      <c r="A26" s="95" t="s">
        <v>330</v>
      </c>
      <c r="B26" s="352" t="s">
        <v>371</v>
      </c>
      <c r="C26" s="352"/>
      <c r="D26" s="352"/>
      <c r="E26" s="352"/>
      <c r="F26" s="352"/>
      <c r="G26" s="352"/>
      <c r="H26" s="97"/>
      <c r="I26" s="128">
        <v>0</v>
      </c>
      <c r="J26" s="366"/>
      <c r="K26" s="119" t="s">
        <v>351</v>
      </c>
      <c r="L26" s="120">
        <f>L17</f>
        <v>5121.0730000000003</v>
      </c>
    </row>
    <row r="27" spans="1:12" ht="15.75" customHeight="1">
      <c r="A27" s="95" t="s">
        <v>372</v>
      </c>
      <c r="B27" s="352" t="s">
        <v>373</v>
      </c>
      <c r="C27" s="352"/>
      <c r="D27" s="352"/>
      <c r="E27" s="352"/>
      <c r="F27" s="352"/>
      <c r="G27" s="352"/>
      <c r="H27" s="97"/>
      <c r="I27" s="128">
        <v>0</v>
      </c>
      <c r="J27" s="366"/>
      <c r="K27" s="121" t="s">
        <v>357</v>
      </c>
      <c r="L27" s="122">
        <f>L26*L25</f>
        <v>51.210730000000005</v>
      </c>
    </row>
    <row r="28" spans="1:12" ht="15.75" customHeight="1">
      <c r="A28" s="95" t="s">
        <v>374</v>
      </c>
      <c r="B28" s="352" t="s">
        <v>375</v>
      </c>
      <c r="C28" s="352"/>
      <c r="D28" s="352"/>
      <c r="E28" s="352"/>
      <c r="F28" s="352"/>
      <c r="G28" s="352"/>
      <c r="H28" s="97"/>
      <c r="I28" s="128">
        <v>0</v>
      </c>
      <c r="J28" s="366"/>
      <c r="K28" s="112" t="s">
        <v>376</v>
      </c>
      <c r="L28" s="113">
        <f>H117</f>
        <v>2.6599999999999999E-2</v>
      </c>
    </row>
    <row r="29" spans="1:12" ht="15.75" customHeight="1">
      <c r="A29" s="351" t="s">
        <v>377</v>
      </c>
      <c r="B29" s="351"/>
      <c r="C29" s="351"/>
      <c r="D29" s="351"/>
      <c r="E29" s="351"/>
      <c r="F29" s="351"/>
      <c r="G29" s="351"/>
      <c r="H29" s="351"/>
      <c r="I29" s="129">
        <f>SUM(I23:I28)</f>
        <v>1857.56</v>
      </c>
      <c r="J29" s="130">
        <f>SUM(I23:I28)</f>
        <v>1857.56</v>
      </c>
      <c r="K29" s="119" t="s">
        <v>351</v>
      </c>
      <c r="L29" s="120">
        <f>L17</f>
        <v>5121.0730000000003</v>
      </c>
    </row>
    <row r="30" spans="1:12" ht="15.7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131"/>
      <c r="K30" s="121" t="s">
        <v>357</v>
      </c>
      <c r="L30" s="122">
        <f>L29*L28</f>
        <v>136.22054180000001</v>
      </c>
    </row>
    <row r="31" spans="1:12" ht="15.75" customHeight="1">
      <c r="A31" s="351" t="s">
        <v>378</v>
      </c>
      <c r="B31" s="351"/>
      <c r="C31" s="351"/>
      <c r="D31" s="351"/>
      <c r="E31" s="351"/>
      <c r="F31" s="351"/>
      <c r="G31" s="351"/>
      <c r="H31" s="351"/>
      <c r="I31" s="351"/>
      <c r="J31" s="131"/>
      <c r="K31" s="112" t="s">
        <v>379</v>
      </c>
      <c r="L31" s="113">
        <f>H116</f>
        <v>5.7999999999999996E-3</v>
      </c>
    </row>
    <row r="32" spans="1:12" ht="15.75" customHeight="1">
      <c r="A32" s="351" t="s">
        <v>380</v>
      </c>
      <c r="B32" s="351"/>
      <c r="C32" s="351"/>
      <c r="D32" s="351"/>
      <c r="E32" s="351"/>
      <c r="F32" s="351"/>
      <c r="G32" s="351"/>
      <c r="H32" s="96" t="s">
        <v>362</v>
      </c>
      <c r="I32" s="96" t="s">
        <v>363</v>
      </c>
      <c r="J32" s="132"/>
      <c r="K32" s="119" t="s">
        <v>351</v>
      </c>
      <c r="L32" s="120">
        <f>L17</f>
        <v>5121.0730000000003</v>
      </c>
    </row>
    <row r="33" spans="1:12" ht="15.75" customHeight="1">
      <c r="A33" s="95" t="s">
        <v>319</v>
      </c>
      <c r="B33" s="352" t="s">
        <v>381</v>
      </c>
      <c r="C33" s="352"/>
      <c r="D33" s="352"/>
      <c r="E33" s="352"/>
      <c r="F33" s="352"/>
      <c r="G33" s="352"/>
      <c r="H33" s="97">
        <f>ROUND(1/12,4)</f>
        <v>8.3299999999999999E-2</v>
      </c>
      <c r="I33" s="133">
        <f>ROUND(I29*H33,2)</f>
        <v>154.72999999999999</v>
      </c>
      <c r="J33" s="130">
        <f>I33+(I33*$H$48)</f>
        <v>208.57603999999998</v>
      </c>
      <c r="K33" s="121" t="s">
        <v>357</v>
      </c>
      <c r="L33" s="122">
        <f>L32*L31</f>
        <v>29.702223400000001</v>
      </c>
    </row>
    <row r="34" spans="1:12" ht="15.75" customHeight="1">
      <c r="A34" s="95" t="s">
        <v>322</v>
      </c>
      <c r="B34" s="352" t="s">
        <v>382</v>
      </c>
      <c r="C34" s="352"/>
      <c r="D34" s="352"/>
      <c r="E34" s="352"/>
      <c r="F34" s="352"/>
      <c r="G34" s="352"/>
      <c r="H34" s="97">
        <v>0.121</v>
      </c>
      <c r="I34" s="133">
        <f>ROUND(I29*H34,2)</f>
        <v>224.76</v>
      </c>
      <c r="J34" s="130">
        <f>I34+(I34*$H$48)</f>
        <v>302.97647999999998</v>
      </c>
      <c r="K34" s="112" t="s">
        <v>383</v>
      </c>
      <c r="L34" s="113">
        <f>H118</f>
        <v>0.05</v>
      </c>
    </row>
    <row r="35" spans="1:12" ht="15.75" customHeight="1">
      <c r="A35" s="351" t="s">
        <v>384</v>
      </c>
      <c r="B35" s="351"/>
      <c r="C35" s="351"/>
      <c r="D35" s="351"/>
      <c r="E35" s="351"/>
      <c r="F35" s="351"/>
      <c r="G35" s="351"/>
      <c r="H35" s="98">
        <f>SUM(H33:H34)</f>
        <v>0.20430000000000001</v>
      </c>
      <c r="I35" s="129">
        <f>SUM(I33:I34)</f>
        <v>379.49</v>
      </c>
      <c r="J35" s="134"/>
      <c r="K35" s="119" t="s">
        <v>351</v>
      </c>
      <c r="L35" s="120">
        <f>L17</f>
        <v>5121.0730000000003</v>
      </c>
    </row>
    <row r="36" spans="1:12" ht="15.75" customHeight="1">
      <c r="A36" s="369" t="s">
        <v>385</v>
      </c>
      <c r="B36" s="369"/>
      <c r="C36" s="369"/>
      <c r="D36" s="369"/>
      <c r="E36" s="369"/>
      <c r="F36" s="369"/>
      <c r="G36" s="358" t="s">
        <v>386</v>
      </c>
      <c r="H36" s="358"/>
      <c r="I36" s="135">
        <f>I29</f>
        <v>1857.56</v>
      </c>
      <c r="J36" s="136"/>
      <c r="K36" s="121" t="s">
        <v>357</v>
      </c>
      <c r="L36" s="122">
        <f>L35*L34</f>
        <v>256.05365</v>
      </c>
    </row>
    <row r="37" spans="1:12" ht="15.75" customHeight="1">
      <c r="A37" s="369"/>
      <c r="B37" s="369"/>
      <c r="C37" s="369"/>
      <c r="D37" s="369"/>
      <c r="E37" s="369"/>
      <c r="F37" s="369"/>
      <c r="G37" s="358" t="s">
        <v>387</v>
      </c>
      <c r="H37" s="358"/>
      <c r="I37" s="135">
        <f>I35</f>
        <v>379.49</v>
      </c>
      <c r="J37" s="137"/>
      <c r="K37" s="138" t="s">
        <v>388</v>
      </c>
      <c r="L37" s="139">
        <f>L19+L24+L27+L30+L33+L36</f>
        <v>969.50830120000001</v>
      </c>
    </row>
    <row r="38" spans="1:12" ht="15.75" customHeight="1">
      <c r="A38" s="369"/>
      <c r="B38" s="369"/>
      <c r="C38" s="369"/>
      <c r="D38" s="369"/>
      <c r="E38" s="369"/>
      <c r="F38" s="369"/>
      <c r="G38" s="359" t="s">
        <v>389</v>
      </c>
      <c r="H38" s="359"/>
      <c r="I38" s="140">
        <f>SUM(I36:I37)</f>
        <v>2237.0500000000002</v>
      </c>
      <c r="J38" s="136"/>
      <c r="K38" s="141"/>
      <c r="L38" s="141"/>
    </row>
    <row r="39" spans="1:12" ht="15.75" customHeight="1">
      <c r="A39" s="351" t="s">
        <v>390</v>
      </c>
      <c r="B39" s="351"/>
      <c r="C39" s="351"/>
      <c r="D39" s="351"/>
      <c r="E39" s="351"/>
      <c r="F39" s="351"/>
      <c r="G39" s="351"/>
      <c r="H39" s="96" t="s">
        <v>362</v>
      </c>
      <c r="I39" s="96" t="s">
        <v>363</v>
      </c>
      <c r="J39" s="136"/>
      <c r="K39" s="142" t="s">
        <v>391</v>
      </c>
      <c r="L39" s="143"/>
    </row>
    <row r="40" spans="1:12" ht="15.75" customHeight="1">
      <c r="A40" s="95" t="s">
        <v>319</v>
      </c>
      <c r="B40" s="352" t="s">
        <v>392</v>
      </c>
      <c r="C40" s="352"/>
      <c r="D40" s="352"/>
      <c r="E40" s="352"/>
      <c r="F40" s="352"/>
      <c r="G40" s="352"/>
      <c r="H40" s="97">
        <v>0.2</v>
      </c>
      <c r="I40" s="133">
        <f t="shared" ref="I40:I47" si="0">ROUND($I$38*H40,2)</f>
        <v>447.41</v>
      </c>
      <c r="J40" s="144" t="s">
        <v>393</v>
      </c>
      <c r="K40" s="145" t="s">
        <v>394</v>
      </c>
      <c r="L40" s="146"/>
    </row>
    <row r="41" spans="1:12" ht="15.75" customHeight="1">
      <c r="A41" s="95" t="s">
        <v>322</v>
      </c>
      <c r="B41" s="352" t="s">
        <v>395</v>
      </c>
      <c r="C41" s="352"/>
      <c r="D41" s="352"/>
      <c r="E41" s="352"/>
      <c r="F41" s="352"/>
      <c r="G41" s="352"/>
      <c r="H41" s="97">
        <v>2.5000000000000001E-2</v>
      </c>
      <c r="I41" s="133">
        <f t="shared" si="0"/>
        <v>55.93</v>
      </c>
      <c r="J41" s="130">
        <f t="shared" ref="J41:J47" si="1">$I$29*H41</f>
        <v>46.439</v>
      </c>
      <c r="K41" s="147" t="s">
        <v>394</v>
      </c>
      <c r="L41" s="148">
        <f>L8+L37</f>
        <v>4269.5921011999999</v>
      </c>
    </row>
    <row r="42" spans="1:12" ht="15.75" customHeight="1">
      <c r="A42" s="95" t="s">
        <v>326</v>
      </c>
      <c r="B42" s="352" t="s">
        <v>396</v>
      </c>
      <c r="C42" s="352"/>
      <c r="D42" s="352"/>
      <c r="E42" s="352"/>
      <c r="F42" s="352"/>
      <c r="G42" s="352"/>
      <c r="H42" s="402">
        <v>0.01</v>
      </c>
      <c r="I42" s="133">
        <f t="shared" si="0"/>
        <v>22.37</v>
      </c>
      <c r="J42" s="144" t="s">
        <v>393</v>
      </c>
      <c r="K42" s="109"/>
      <c r="L42" s="149"/>
    </row>
    <row r="43" spans="1:12" ht="15.75" customHeight="1">
      <c r="A43" s="95" t="s">
        <v>330</v>
      </c>
      <c r="B43" s="352" t="s">
        <v>397</v>
      </c>
      <c r="C43" s="352"/>
      <c r="D43" s="352"/>
      <c r="E43" s="352"/>
      <c r="F43" s="352"/>
      <c r="G43" s="352"/>
      <c r="H43" s="97">
        <v>1.4999999999999999E-2</v>
      </c>
      <c r="I43" s="133">
        <f t="shared" si="0"/>
        <v>33.56</v>
      </c>
      <c r="J43" s="130">
        <f t="shared" si="1"/>
        <v>27.863399999999999</v>
      </c>
      <c r="K43" s="109"/>
      <c r="L43" s="149"/>
    </row>
    <row r="44" spans="1:12" ht="15.75" customHeight="1">
      <c r="A44" s="95" t="s">
        <v>372</v>
      </c>
      <c r="B44" s="352" t="s">
        <v>398</v>
      </c>
      <c r="C44" s="352"/>
      <c r="D44" s="352"/>
      <c r="E44" s="352"/>
      <c r="F44" s="352"/>
      <c r="G44" s="352"/>
      <c r="H44" s="97">
        <v>0.01</v>
      </c>
      <c r="I44" s="133">
        <f t="shared" si="0"/>
        <v>22.37</v>
      </c>
      <c r="J44" s="130">
        <f t="shared" si="1"/>
        <v>18.575600000000001</v>
      </c>
      <c r="K44" s="109"/>
      <c r="L44" s="149"/>
    </row>
    <row r="45" spans="1:12" ht="15.75" customHeight="1">
      <c r="A45" s="95" t="s">
        <v>374</v>
      </c>
      <c r="B45" s="352" t="s">
        <v>399</v>
      </c>
      <c r="C45" s="352"/>
      <c r="D45" s="352"/>
      <c r="E45" s="352"/>
      <c r="F45" s="352"/>
      <c r="G45" s="352"/>
      <c r="H45" s="97">
        <v>6.0000000000000001E-3</v>
      </c>
      <c r="I45" s="133">
        <f t="shared" si="0"/>
        <v>13.42</v>
      </c>
      <c r="J45" s="130">
        <f t="shared" si="1"/>
        <v>11.14536</v>
      </c>
      <c r="K45" s="109"/>
      <c r="L45" s="149"/>
    </row>
    <row r="46" spans="1:12" ht="15.75" customHeight="1">
      <c r="A46" s="95" t="s">
        <v>400</v>
      </c>
      <c r="B46" s="352" t="s">
        <v>401</v>
      </c>
      <c r="C46" s="352"/>
      <c r="D46" s="352"/>
      <c r="E46" s="352"/>
      <c r="F46" s="352"/>
      <c r="G46" s="352"/>
      <c r="H46" s="97">
        <v>2E-3</v>
      </c>
      <c r="I46" s="133">
        <f t="shared" si="0"/>
        <v>4.47</v>
      </c>
      <c r="J46" s="130">
        <f t="shared" si="1"/>
        <v>3.7151200000000002</v>
      </c>
      <c r="K46" s="109"/>
      <c r="L46" s="149"/>
    </row>
    <row r="47" spans="1:12" ht="15.75" customHeight="1">
      <c r="A47" s="95" t="s">
        <v>402</v>
      </c>
      <c r="B47" s="352" t="s">
        <v>403</v>
      </c>
      <c r="C47" s="352"/>
      <c r="D47" s="352"/>
      <c r="E47" s="352"/>
      <c r="F47" s="352"/>
      <c r="G47" s="352"/>
      <c r="H47" s="97">
        <v>0.08</v>
      </c>
      <c r="I47" s="133">
        <f t="shared" si="0"/>
        <v>178.96</v>
      </c>
      <c r="J47" s="130">
        <f t="shared" si="1"/>
        <v>148.60480000000001</v>
      </c>
      <c r="K47" s="360" t="s">
        <v>404</v>
      </c>
      <c r="L47" s="360"/>
    </row>
    <row r="48" spans="1:12" ht="15.75" customHeight="1">
      <c r="A48" s="351" t="s">
        <v>405</v>
      </c>
      <c r="B48" s="351"/>
      <c r="C48" s="351"/>
      <c r="D48" s="351"/>
      <c r="E48" s="351"/>
      <c r="F48" s="351"/>
      <c r="G48" s="351"/>
      <c r="H48" s="98">
        <f>SUM(H40:H47)</f>
        <v>0.34800000000000003</v>
      </c>
      <c r="I48" s="129">
        <f>SUM(I40:I47)</f>
        <v>778.49</v>
      </c>
      <c r="J48" s="137"/>
      <c r="K48" s="361" t="s">
        <v>406</v>
      </c>
      <c r="L48" s="361"/>
    </row>
    <row r="49" spans="1:12" ht="15.75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137"/>
      <c r="K49" s="150" t="s">
        <v>407</v>
      </c>
      <c r="L49" s="151">
        <v>1</v>
      </c>
    </row>
    <row r="50" spans="1:12" ht="15.75" customHeight="1">
      <c r="A50" s="351" t="s">
        <v>408</v>
      </c>
      <c r="B50" s="351"/>
      <c r="C50" s="351"/>
      <c r="D50" s="351"/>
      <c r="E50" s="351"/>
      <c r="F50" s="351"/>
      <c r="G50" s="351"/>
      <c r="H50" s="98"/>
      <c r="I50" s="96" t="s">
        <v>363</v>
      </c>
      <c r="J50" s="137"/>
      <c r="K50" s="367" t="s">
        <v>409</v>
      </c>
      <c r="L50" s="368">
        <f>L41</f>
        <v>4269.5921011999999</v>
      </c>
    </row>
    <row r="51" spans="1:12" ht="15.75" customHeight="1">
      <c r="A51" s="95" t="s">
        <v>319</v>
      </c>
      <c r="B51" s="357" t="s">
        <v>410</v>
      </c>
      <c r="C51" s="357"/>
      <c r="D51" s="357"/>
      <c r="E51" s="357"/>
      <c r="F51" s="357"/>
      <c r="G51" s="357"/>
      <c r="H51" s="99" t="s">
        <v>303</v>
      </c>
      <c r="I51" s="128">
        <v>0</v>
      </c>
      <c r="J51" s="130">
        <f t="shared" ref="J51:J54" si="2">I51</f>
        <v>0</v>
      </c>
      <c r="K51" s="367"/>
      <c r="L51" s="368"/>
    </row>
    <row r="52" spans="1:12" ht="15.75" customHeight="1">
      <c r="A52" s="95" t="s">
        <v>322</v>
      </c>
      <c r="B52" s="357" t="s">
        <v>411</v>
      </c>
      <c r="C52" s="357"/>
      <c r="D52" s="357"/>
      <c r="E52" s="357"/>
      <c r="F52" s="357"/>
      <c r="G52" s="357"/>
      <c r="H52" s="63" t="s">
        <v>303</v>
      </c>
      <c r="I52" s="128">
        <v>473.82</v>
      </c>
      <c r="J52" s="130">
        <f t="shared" si="2"/>
        <v>473.82</v>
      </c>
      <c r="K52" s="367"/>
      <c r="L52" s="368"/>
    </row>
    <row r="53" spans="1:12" ht="15.75" customHeight="1">
      <c r="A53" s="95" t="s">
        <v>326</v>
      </c>
      <c r="B53" s="357" t="s">
        <v>412</v>
      </c>
      <c r="C53" s="357"/>
      <c r="D53" s="357"/>
      <c r="E53" s="357"/>
      <c r="F53" s="357"/>
      <c r="G53" s="357"/>
      <c r="H53" s="63" t="s">
        <v>303</v>
      </c>
      <c r="I53" s="128">
        <f>(52.15+78.22)*0.4</f>
        <v>52.148000000000003</v>
      </c>
      <c r="J53" s="130">
        <f t="shared" si="2"/>
        <v>52.148000000000003</v>
      </c>
      <c r="K53" s="153" t="s">
        <v>413</v>
      </c>
      <c r="L53" s="152">
        <f>I139</f>
        <v>5121.0730000000003</v>
      </c>
    </row>
    <row r="54" spans="1:12" ht="15.75" customHeight="1">
      <c r="A54" s="95" t="s">
        <v>330</v>
      </c>
      <c r="B54" s="357" t="s">
        <v>414</v>
      </c>
      <c r="C54" s="357"/>
      <c r="D54" s="357"/>
      <c r="E54" s="357"/>
      <c r="F54" s="357"/>
      <c r="G54" s="357"/>
      <c r="H54" s="63" t="s">
        <v>303</v>
      </c>
      <c r="I54" s="128">
        <f>ROUND((I23*26)*0.002/12,2)</f>
        <v>6.73</v>
      </c>
      <c r="J54" s="130">
        <f t="shared" si="2"/>
        <v>6.73</v>
      </c>
      <c r="K54" s="154" t="s">
        <v>415</v>
      </c>
      <c r="L54" s="155">
        <f>L41</f>
        <v>4269.5921011999999</v>
      </c>
    </row>
    <row r="55" spans="1:12" ht="15.75" customHeight="1">
      <c r="A55" s="351" t="s">
        <v>416</v>
      </c>
      <c r="B55" s="351"/>
      <c r="C55" s="351"/>
      <c r="D55" s="351"/>
      <c r="E55" s="351"/>
      <c r="F55" s="351"/>
      <c r="G55" s="351"/>
      <c r="H55" s="351"/>
      <c r="I55" s="129">
        <f>SUM(I51:I54)</f>
        <v>532.69799999999998</v>
      </c>
      <c r="J55" s="134"/>
      <c r="K55" s="156" t="s">
        <v>417</v>
      </c>
      <c r="L55" s="157">
        <f>L53-L54</f>
        <v>851.48089880000043</v>
      </c>
    </row>
    <row r="56" spans="1:12" ht="15.75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134"/>
      <c r="K56" s="158" t="s">
        <v>418</v>
      </c>
      <c r="L56" s="159">
        <f>SUM(I68:I71,I96,I104,I113)</f>
        <v>939.495</v>
      </c>
    </row>
    <row r="57" spans="1:12" ht="15.75" customHeight="1">
      <c r="A57" s="351" t="s">
        <v>419</v>
      </c>
      <c r="B57" s="351"/>
      <c r="C57" s="351"/>
      <c r="D57" s="351"/>
      <c r="E57" s="351"/>
      <c r="F57" s="351"/>
      <c r="G57" s="351"/>
      <c r="H57" s="351"/>
      <c r="I57" s="351"/>
      <c r="J57" s="134"/>
      <c r="K57" s="158" t="s">
        <v>420</v>
      </c>
      <c r="L57" s="160">
        <f>L55-L56</f>
        <v>-88.014101199999573</v>
      </c>
    </row>
    <row r="58" spans="1:12" ht="15.75" customHeight="1">
      <c r="A58" s="351" t="s">
        <v>421</v>
      </c>
      <c r="B58" s="351"/>
      <c r="C58" s="351"/>
      <c r="D58" s="351"/>
      <c r="E58" s="351"/>
      <c r="F58" s="351"/>
      <c r="G58" s="351"/>
      <c r="H58" s="351"/>
      <c r="I58" s="96" t="s">
        <v>363</v>
      </c>
      <c r="J58" s="134"/>
      <c r="K58" s="161" t="s">
        <v>422</v>
      </c>
      <c r="L58" s="162">
        <f>ROUND(L57*L49,2)</f>
        <v>-88.01</v>
      </c>
    </row>
    <row r="59" spans="1:12" ht="15.75" customHeight="1">
      <c r="A59" s="95" t="s">
        <v>215</v>
      </c>
      <c r="B59" s="352" t="s">
        <v>423</v>
      </c>
      <c r="C59" s="352"/>
      <c r="D59" s="352"/>
      <c r="E59" s="352"/>
      <c r="F59" s="352"/>
      <c r="G59" s="352"/>
      <c r="H59" s="352"/>
      <c r="I59" s="133">
        <f>I35</f>
        <v>379.49</v>
      </c>
      <c r="J59" s="134"/>
      <c r="K59" s="161" t="s">
        <v>424</v>
      </c>
      <c r="L59" s="162">
        <f>ROUND((L57*12)*L49,2)</f>
        <v>-1056.17</v>
      </c>
    </row>
    <row r="60" spans="1:12" ht="15.75" customHeight="1">
      <c r="A60" s="95" t="s">
        <v>245</v>
      </c>
      <c r="B60" s="352" t="s">
        <v>425</v>
      </c>
      <c r="C60" s="352"/>
      <c r="D60" s="352"/>
      <c r="E60" s="352"/>
      <c r="F60" s="352"/>
      <c r="G60" s="352"/>
      <c r="H60" s="352"/>
      <c r="I60" s="133">
        <f>I48</f>
        <v>778.49</v>
      </c>
      <c r="J60" s="134"/>
      <c r="K60" s="372" t="s">
        <v>426</v>
      </c>
      <c r="L60" s="372"/>
    </row>
    <row r="61" spans="1:12" ht="15.75" customHeight="1">
      <c r="A61" s="95" t="s">
        <v>257</v>
      </c>
      <c r="B61" s="352" t="s">
        <v>427</v>
      </c>
      <c r="C61" s="352"/>
      <c r="D61" s="352"/>
      <c r="E61" s="352"/>
      <c r="F61" s="352"/>
      <c r="G61" s="352"/>
      <c r="H61" s="352"/>
      <c r="I61" s="133">
        <f>I55</f>
        <v>532.69799999999998</v>
      </c>
      <c r="J61" s="134"/>
      <c r="K61" s="372"/>
      <c r="L61" s="372"/>
    </row>
    <row r="62" spans="1:12" ht="15.75" customHeight="1">
      <c r="A62" s="351" t="s">
        <v>428</v>
      </c>
      <c r="B62" s="351"/>
      <c r="C62" s="351"/>
      <c r="D62" s="351"/>
      <c r="E62" s="351"/>
      <c r="F62" s="351"/>
      <c r="G62" s="351"/>
      <c r="H62" s="351"/>
      <c r="I62" s="129">
        <f>SUM(I59:I61)</f>
        <v>1690.6779999999999</v>
      </c>
      <c r="J62" s="134"/>
      <c r="K62" s="372"/>
      <c r="L62" s="372"/>
    </row>
    <row r="63" spans="1:12" ht="15.75" customHeight="1">
      <c r="A63" s="370" t="s">
        <v>429</v>
      </c>
      <c r="B63" s="370"/>
      <c r="C63" s="370"/>
      <c r="D63" s="370"/>
      <c r="E63" s="370"/>
      <c r="F63" s="370"/>
      <c r="G63" s="358" t="s">
        <v>386</v>
      </c>
      <c r="H63" s="358"/>
      <c r="I63" s="135">
        <f>I29</f>
        <v>1857.56</v>
      </c>
      <c r="J63" s="134"/>
      <c r="K63" s="372"/>
      <c r="L63" s="372"/>
    </row>
    <row r="64" spans="1:12" ht="15.75" customHeight="1">
      <c r="A64" s="370"/>
      <c r="B64" s="370"/>
      <c r="C64" s="370"/>
      <c r="D64" s="370"/>
      <c r="E64" s="370"/>
      <c r="F64" s="370"/>
      <c r="G64" s="358" t="s">
        <v>430</v>
      </c>
      <c r="H64" s="358"/>
      <c r="I64" s="135">
        <f>I62</f>
        <v>1690.6779999999999</v>
      </c>
      <c r="J64" s="134"/>
      <c r="K64" s="372"/>
      <c r="L64" s="372"/>
    </row>
    <row r="65" spans="1:12" ht="15.75" customHeight="1">
      <c r="A65" s="370"/>
      <c r="B65" s="370"/>
      <c r="C65" s="370"/>
      <c r="D65" s="370"/>
      <c r="E65" s="370"/>
      <c r="F65" s="370"/>
      <c r="G65" s="359" t="s">
        <v>389</v>
      </c>
      <c r="H65" s="359"/>
      <c r="I65" s="140">
        <f>SUM(I63:I64)</f>
        <v>3548.2379999999998</v>
      </c>
      <c r="J65" s="134"/>
      <c r="K65" s="372"/>
      <c r="L65" s="372"/>
    </row>
    <row r="66" spans="1:12" ht="15.75" customHeight="1">
      <c r="A66" s="351" t="s">
        <v>431</v>
      </c>
      <c r="B66" s="351"/>
      <c r="C66" s="351"/>
      <c r="D66" s="351"/>
      <c r="E66" s="351"/>
      <c r="F66" s="351"/>
      <c r="G66" s="351"/>
      <c r="H66" s="351"/>
      <c r="I66" s="351"/>
      <c r="J66" s="134"/>
      <c r="K66" s="372"/>
      <c r="L66" s="372"/>
    </row>
    <row r="67" spans="1:12" ht="27.75" customHeight="1">
      <c r="A67" s="96">
        <v>3</v>
      </c>
      <c r="B67" s="351" t="s">
        <v>432</v>
      </c>
      <c r="C67" s="351"/>
      <c r="D67" s="351"/>
      <c r="E67" s="351"/>
      <c r="F67" s="351"/>
      <c r="G67" s="351"/>
      <c r="H67" s="96" t="s">
        <v>362</v>
      </c>
      <c r="I67" s="96" t="s">
        <v>363</v>
      </c>
      <c r="J67" s="134"/>
      <c r="K67" s="372"/>
      <c r="L67" s="372"/>
    </row>
    <row r="68" spans="1:12" ht="15.75" customHeight="1">
      <c r="A68" s="95" t="s">
        <v>319</v>
      </c>
      <c r="B68" s="352" t="s">
        <v>433</v>
      </c>
      <c r="C68" s="352"/>
      <c r="D68" s="352"/>
      <c r="E68" s="352"/>
      <c r="F68" s="352"/>
      <c r="G68" s="352"/>
      <c r="H68" s="97">
        <f>ROUND(((1/12)*5%),4)</f>
        <v>4.1999999999999997E-3</v>
      </c>
      <c r="I68" s="133">
        <f>ROUND(H68*$I$65,2)</f>
        <v>14.9</v>
      </c>
      <c r="J68" s="134"/>
      <c r="K68" s="372"/>
      <c r="L68" s="372"/>
    </row>
    <row r="69" spans="1:12" ht="15.75" customHeight="1">
      <c r="A69" s="95" t="s">
        <v>322</v>
      </c>
      <c r="B69" s="352" t="s">
        <v>434</v>
      </c>
      <c r="C69" s="352"/>
      <c r="D69" s="352"/>
      <c r="E69" s="352"/>
      <c r="F69" s="352"/>
      <c r="G69" s="352"/>
      <c r="H69" s="97">
        <f>TRUNC(H68*H47,4)</f>
        <v>2.9999999999999997E-4</v>
      </c>
      <c r="I69" s="133">
        <f>ROUND(H69*$I$65,2)</f>
        <v>1.06</v>
      </c>
      <c r="J69" s="134"/>
      <c r="K69" s="372"/>
      <c r="L69" s="372"/>
    </row>
    <row r="70" spans="1:12" ht="15.75" customHeight="1">
      <c r="A70" s="95" t="s">
        <v>326</v>
      </c>
      <c r="B70" s="352" t="s">
        <v>435</v>
      </c>
      <c r="C70" s="352"/>
      <c r="D70" s="352"/>
      <c r="E70" s="352"/>
      <c r="F70" s="352"/>
      <c r="G70" s="352"/>
      <c r="H70" s="97">
        <f>ROUND(((7/30)/12)*95%,4)</f>
        <v>1.8499999999999999E-2</v>
      </c>
      <c r="I70" s="133">
        <f>ROUND(H70*$I$65,2)</f>
        <v>65.64</v>
      </c>
      <c r="J70" s="134"/>
      <c r="K70" s="109"/>
      <c r="L70" s="109"/>
    </row>
    <row r="71" spans="1:12" ht="15.75" customHeight="1">
      <c r="A71" s="95" t="s">
        <v>330</v>
      </c>
      <c r="B71" s="363" t="s">
        <v>436</v>
      </c>
      <c r="C71" s="363"/>
      <c r="D71" s="363"/>
      <c r="E71" s="363"/>
      <c r="F71" s="363"/>
      <c r="G71" s="363"/>
      <c r="H71" s="97">
        <f>ROUND(H70*H48,4)</f>
        <v>6.4000000000000003E-3</v>
      </c>
      <c r="I71" s="133">
        <f>ROUND(H71*$I$65,2)</f>
        <v>22.71</v>
      </c>
      <c r="J71" s="134"/>
      <c r="K71" s="109"/>
      <c r="L71" s="109"/>
    </row>
    <row r="72" spans="1:12" ht="15.75" customHeight="1">
      <c r="A72" s="95" t="s">
        <v>372</v>
      </c>
      <c r="B72" s="352" t="s">
        <v>437</v>
      </c>
      <c r="C72" s="352"/>
      <c r="D72" s="352"/>
      <c r="E72" s="352"/>
      <c r="F72" s="352"/>
      <c r="G72" s="352"/>
      <c r="H72" s="97">
        <v>0.04</v>
      </c>
      <c r="I72" s="133">
        <f>ROUND(H72*$I$65,2)</f>
        <v>141.93</v>
      </c>
      <c r="J72" s="130">
        <f>I72</f>
        <v>141.93</v>
      </c>
      <c r="K72" s="109"/>
      <c r="L72" s="109"/>
    </row>
    <row r="73" spans="1:12" ht="15.75" customHeight="1">
      <c r="A73" s="351" t="s">
        <v>438</v>
      </c>
      <c r="B73" s="351"/>
      <c r="C73" s="351"/>
      <c r="D73" s="351"/>
      <c r="E73" s="351"/>
      <c r="F73" s="351"/>
      <c r="G73" s="351"/>
      <c r="H73" s="98">
        <f>SUM(H68:H72)</f>
        <v>6.9400000000000003E-2</v>
      </c>
      <c r="I73" s="129">
        <f>SUM(I68:I72)</f>
        <v>246.24</v>
      </c>
      <c r="J73" s="134"/>
      <c r="K73" s="179"/>
      <c r="L73" s="109"/>
    </row>
    <row r="74" spans="1:12" ht="15.75" customHeight="1">
      <c r="A74" s="371" t="s">
        <v>439</v>
      </c>
      <c r="B74" s="371"/>
      <c r="C74" s="371"/>
      <c r="D74" s="371"/>
      <c r="E74" s="371"/>
      <c r="F74" s="371"/>
      <c r="G74" s="358" t="s">
        <v>386</v>
      </c>
      <c r="H74" s="358"/>
      <c r="I74" s="135">
        <f>I29</f>
        <v>1857.56</v>
      </c>
      <c r="J74" s="134"/>
      <c r="K74" s="179"/>
      <c r="L74" s="109"/>
    </row>
    <row r="75" spans="1:12" ht="15.75" customHeight="1">
      <c r="A75" s="371"/>
      <c r="B75" s="371"/>
      <c r="C75" s="371"/>
      <c r="D75" s="371"/>
      <c r="E75" s="371"/>
      <c r="F75" s="371"/>
      <c r="G75" s="358" t="s">
        <v>430</v>
      </c>
      <c r="H75" s="358"/>
      <c r="I75" s="135">
        <f>I62</f>
        <v>1690.6779999999999</v>
      </c>
      <c r="J75" s="134"/>
      <c r="K75" s="179"/>
      <c r="L75" s="109"/>
    </row>
    <row r="76" spans="1:12" ht="15.75" customHeight="1">
      <c r="A76" s="371"/>
      <c r="B76" s="371"/>
      <c r="C76" s="371"/>
      <c r="D76" s="371"/>
      <c r="E76" s="371"/>
      <c r="F76" s="371"/>
      <c r="G76" s="358" t="s">
        <v>440</v>
      </c>
      <c r="H76" s="358"/>
      <c r="I76" s="135">
        <f>I73</f>
        <v>246.24</v>
      </c>
      <c r="J76" s="134"/>
      <c r="K76" s="179"/>
      <c r="L76" s="109"/>
    </row>
    <row r="77" spans="1:12" ht="15.75" customHeight="1">
      <c r="A77" s="371"/>
      <c r="B77" s="371"/>
      <c r="C77" s="371"/>
      <c r="D77" s="371"/>
      <c r="E77" s="371"/>
      <c r="F77" s="371"/>
      <c r="G77" s="359" t="s">
        <v>389</v>
      </c>
      <c r="H77" s="359"/>
      <c r="I77" s="140">
        <f>SUM(I74:I76)</f>
        <v>3794.4780000000001</v>
      </c>
      <c r="J77" s="134"/>
      <c r="K77" s="179"/>
      <c r="L77" s="109"/>
    </row>
    <row r="78" spans="1:12" ht="15.75" customHeight="1">
      <c r="A78" s="351" t="s">
        <v>441</v>
      </c>
      <c r="B78" s="351"/>
      <c r="C78" s="351"/>
      <c r="D78" s="351"/>
      <c r="E78" s="351"/>
      <c r="F78" s="351"/>
      <c r="G78" s="351"/>
      <c r="H78" s="351"/>
      <c r="I78" s="351"/>
      <c r="J78" s="131"/>
      <c r="K78" s="179"/>
      <c r="L78" s="109"/>
    </row>
    <row r="79" spans="1:12" ht="15.75" customHeight="1">
      <c r="A79" s="351" t="s">
        <v>442</v>
      </c>
      <c r="B79" s="351"/>
      <c r="C79" s="351"/>
      <c r="D79" s="351"/>
      <c r="E79" s="351"/>
      <c r="F79" s="351"/>
      <c r="G79" s="351"/>
      <c r="H79" s="96" t="s">
        <v>362</v>
      </c>
      <c r="I79" s="96" t="s">
        <v>363</v>
      </c>
      <c r="J79" s="134"/>
      <c r="K79" s="179"/>
      <c r="L79" s="180"/>
    </row>
    <row r="80" spans="1:12" ht="15.75" customHeight="1">
      <c r="A80" s="95" t="s">
        <v>319</v>
      </c>
      <c r="B80" s="352" t="s">
        <v>443</v>
      </c>
      <c r="C80" s="352"/>
      <c r="D80" s="352"/>
      <c r="E80" s="352"/>
      <c r="F80" s="352"/>
      <c r="G80" s="352"/>
      <c r="H80" s="97">
        <f>ROUND(((1+1/3)/12)/12,4)</f>
        <v>9.2999999999999992E-3</v>
      </c>
      <c r="I80" s="133">
        <f t="shared" ref="I80:I85" si="3">ROUND(H80*$I$77,2)</f>
        <v>35.29</v>
      </c>
      <c r="J80" s="134"/>
      <c r="K80" s="179"/>
      <c r="L80" s="109"/>
    </row>
    <row r="81" spans="1:12" ht="15.75" customHeight="1">
      <c r="A81" s="95" t="s">
        <v>322</v>
      </c>
      <c r="B81" s="352" t="s">
        <v>444</v>
      </c>
      <c r="C81" s="352"/>
      <c r="D81" s="352"/>
      <c r="E81" s="352"/>
      <c r="F81" s="352"/>
      <c r="G81" s="352"/>
      <c r="H81" s="97">
        <f>ROUND(2/30/12,4)</f>
        <v>5.5999999999999999E-3</v>
      </c>
      <c r="I81" s="133">
        <f t="shared" si="3"/>
        <v>21.25</v>
      </c>
      <c r="J81" s="134"/>
      <c r="K81" s="109"/>
      <c r="L81" s="109"/>
    </row>
    <row r="82" spans="1:12" ht="15.75" customHeight="1">
      <c r="A82" s="95" t="s">
        <v>326</v>
      </c>
      <c r="B82" s="352" t="s">
        <v>445</v>
      </c>
      <c r="C82" s="352"/>
      <c r="D82" s="352"/>
      <c r="E82" s="352"/>
      <c r="F82" s="352"/>
      <c r="G82" s="352"/>
      <c r="H82" s="97">
        <f>ROUND(((5/30)/12)*2%,4)</f>
        <v>2.9999999999999997E-4</v>
      </c>
      <c r="I82" s="133">
        <f t="shared" si="3"/>
        <v>1.1399999999999999</v>
      </c>
      <c r="J82" s="134"/>
      <c r="K82" s="109"/>
      <c r="L82" s="109"/>
    </row>
    <row r="83" spans="1:12" ht="15.75" customHeight="1">
      <c r="A83" s="95" t="s">
        <v>330</v>
      </c>
      <c r="B83" s="352" t="s">
        <v>446</v>
      </c>
      <c r="C83" s="352"/>
      <c r="D83" s="352"/>
      <c r="E83" s="352"/>
      <c r="F83" s="352"/>
      <c r="G83" s="352"/>
      <c r="H83" s="97">
        <f>ROUND(((15/30)/12)*8%,4)</f>
        <v>3.3E-3</v>
      </c>
      <c r="I83" s="133">
        <f t="shared" si="3"/>
        <v>12.52</v>
      </c>
      <c r="J83" s="134"/>
      <c r="K83" s="109"/>
      <c r="L83" s="109"/>
    </row>
    <row r="84" spans="1:12" ht="15.75" customHeight="1">
      <c r="A84" s="95" t="s">
        <v>372</v>
      </c>
      <c r="B84" s="352" t="s">
        <v>447</v>
      </c>
      <c r="C84" s="352"/>
      <c r="D84" s="352"/>
      <c r="E84" s="352"/>
      <c r="F84" s="352"/>
      <c r="G84" s="352"/>
      <c r="H84" s="97">
        <f>ROUND(((1+1/3)/12*4/12)*2%,4)</f>
        <v>6.9999999999999999E-4</v>
      </c>
      <c r="I84" s="133">
        <f t="shared" si="3"/>
        <v>2.66</v>
      </c>
      <c r="J84" s="134"/>
      <c r="K84" s="109"/>
      <c r="L84" s="109"/>
    </row>
    <row r="85" spans="1:12" ht="15.75" customHeight="1">
      <c r="A85" s="95" t="s">
        <v>374</v>
      </c>
      <c r="B85" s="352" t="s">
        <v>448</v>
      </c>
      <c r="C85" s="352"/>
      <c r="D85" s="352"/>
      <c r="E85" s="352"/>
      <c r="F85" s="352"/>
      <c r="G85" s="352"/>
      <c r="H85" s="97">
        <v>0</v>
      </c>
      <c r="I85" s="133">
        <f t="shared" si="3"/>
        <v>0</v>
      </c>
      <c r="J85" s="134"/>
      <c r="K85" s="109"/>
      <c r="L85" s="109"/>
    </row>
    <row r="86" spans="1:12" ht="15.75" customHeight="1">
      <c r="A86" s="351" t="s">
        <v>449</v>
      </c>
      <c r="B86" s="351"/>
      <c r="C86" s="351"/>
      <c r="D86" s="351"/>
      <c r="E86" s="351"/>
      <c r="F86" s="351"/>
      <c r="G86" s="351"/>
      <c r="H86" s="98">
        <f>SUM(H80:H85)</f>
        <v>1.9199999999999998E-2</v>
      </c>
      <c r="I86" s="129">
        <f>SUM(I80:I85)</f>
        <v>72.86</v>
      </c>
      <c r="J86" s="134"/>
      <c r="K86" s="109"/>
      <c r="L86" s="181"/>
    </row>
    <row r="87" spans="1:12" ht="15.75" customHeight="1">
      <c r="A87" s="362"/>
      <c r="B87" s="362"/>
      <c r="C87" s="362"/>
      <c r="D87" s="362"/>
      <c r="E87" s="362"/>
      <c r="F87" s="362"/>
      <c r="G87" s="362"/>
      <c r="H87" s="362"/>
      <c r="I87" s="362"/>
      <c r="J87" s="134"/>
      <c r="K87" s="182"/>
      <c r="L87" s="109"/>
    </row>
    <row r="88" spans="1:12" ht="15.75" customHeight="1">
      <c r="A88" s="351" t="s">
        <v>450</v>
      </c>
      <c r="B88" s="351"/>
      <c r="C88" s="351"/>
      <c r="D88" s="351"/>
      <c r="E88" s="351"/>
      <c r="F88" s="351"/>
      <c r="G88" s="351"/>
      <c r="H88" s="96" t="s">
        <v>362</v>
      </c>
      <c r="I88" s="96" t="s">
        <v>363</v>
      </c>
      <c r="J88" s="134"/>
      <c r="K88" s="109"/>
      <c r="L88" s="109"/>
    </row>
    <row r="89" spans="1:12" ht="15.75" customHeight="1">
      <c r="A89" s="95" t="s">
        <v>319</v>
      </c>
      <c r="B89" s="352" t="s">
        <v>451</v>
      </c>
      <c r="C89" s="352"/>
      <c r="D89" s="352"/>
      <c r="E89" s="352"/>
      <c r="F89" s="352"/>
      <c r="G89" s="352"/>
      <c r="H89" s="97">
        <v>0</v>
      </c>
      <c r="I89" s="133">
        <f>I29*H89</f>
        <v>0</v>
      </c>
      <c r="J89" s="134"/>
      <c r="K89" s="109"/>
      <c r="L89" s="109"/>
    </row>
    <row r="90" spans="1:12" ht="15.75" customHeight="1">
      <c r="A90" s="351" t="s">
        <v>452</v>
      </c>
      <c r="B90" s="351"/>
      <c r="C90" s="351"/>
      <c r="D90" s="351"/>
      <c r="E90" s="351"/>
      <c r="F90" s="351"/>
      <c r="G90" s="351"/>
      <c r="H90" s="98">
        <f>H89</f>
        <v>0</v>
      </c>
      <c r="I90" s="129">
        <f>I89</f>
        <v>0</v>
      </c>
      <c r="J90" s="134"/>
      <c r="K90" s="183"/>
      <c r="L90" s="109"/>
    </row>
    <row r="91" spans="1:12" ht="15.75" customHeight="1">
      <c r="A91" s="362"/>
      <c r="B91" s="362"/>
      <c r="C91" s="362"/>
      <c r="D91" s="362"/>
      <c r="E91" s="362"/>
      <c r="F91" s="362"/>
      <c r="G91" s="362"/>
      <c r="H91" s="362"/>
      <c r="I91" s="362"/>
      <c r="J91" s="134"/>
      <c r="K91" s="109"/>
      <c r="L91" s="109"/>
    </row>
    <row r="92" spans="1:12" ht="15.75" customHeight="1">
      <c r="A92" s="351" t="s">
        <v>453</v>
      </c>
      <c r="B92" s="351"/>
      <c r="C92" s="351"/>
      <c r="D92" s="351"/>
      <c r="E92" s="351"/>
      <c r="F92" s="351"/>
      <c r="G92" s="351"/>
      <c r="H92" s="351"/>
      <c r="I92" s="351"/>
      <c r="J92" s="134"/>
      <c r="K92" s="109"/>
      <c r="L92" s="109"/>
    </row>
    <row r="93" spans="1:12" ht="15.75" customHeight="1">
      <c r="A93" s="351" t="s">
        <v>454</v>
      </c>
      <c r="B93" s="351"/>
      <c r="C93" s="351"/>
      <c r="D93" s="351"/>
      <c r="E93" s="351"/>
      <c r="F93" s="351"/>
      <c r="G93" s="351"/>
      <c r="H93" s="351"/>
      <c r="I93" s="96" t="s">
        <v>363</v>
      </c>
      <c r="J93" s="134"/>
      <c r="K93" s="109"/>
      <c r="L93" s="109"/>
    </row>
    <row r="94" spans="1:12" ht="15.75" customHeight="1">
      <c r="A94" s="95" t="s">
        <v>455</v>
      </c>
      <c r="B94" s="352" t="s">
        <v>456</v>
      </c>
      <c r="C94" s="352"/>
      <c r="D94" s="352"/>
      <c r="E94" s="352"/>
      <c r="F94" s="352"/>
      <c r="G94" s="352"/>
      <c r="H94" s="352"/>
      <c r="I94" s="133">
        <f>I86</f>
        <v>72.86</v>
      </c>
      <c r="J94" s="134"/>
      <c r="K94" s="109"/>
      <c r="L94" s="109"/>
    </row>
    <row r="95" spans="1:12" ht="15.75" customHeight="1">
      <c r="A95" s="95" t="s">
        <v>457</v>
      </c>
      <c r="B95" s="352" t="s">
        <v>458</v>
      </c>
      <c r="C95" s="352"/>
      <c r="D95" s="352"/>
      <c r="E95" s="352"/>
      <c r="F95" s="352"/>
      <c r="G95" s="352"/>
      <c r="H95" s="352"/>
      <c r="I95" s="133">
        <f>I90</f>
        <v>0</v>
      </c>
      <c r="J95" s="134"/>
      <c r="K95" s="109"/>
      <c r="L95" s="109"/>
    </row>
    <row r="96" spans="1:12" ht="15.75" customHeight="1">
      <c r="A96" s="351" t="s">
        <v>459</v>
      </c>
      <c r="B96" s="351"/>
      <c r="C96" s="351"/>
      <c r="D96" s="351"/>
      <c r="E96" s="351"/>
      <c r="F96" s="351"/>
      <c r="G96" s="351"/>
      <c r="H96" s="351"/>
      <c r="I96" s="129">
        <f>SUM(I94:I95)</f>
        <v>72.86</v>
      </c>
      <c r="J96" s="134"/>
      <c r="K96" s="109"/>
      <c r="L96" s="109"/>
    </row>
    <row r="97" spans="1:12" ht="15.75" customHeight="1">
      <c r="A97" s="362"/>
      <c r="B97" s="362"/>
      <c r="C97" s="362"/>
      <c r="D97" s="362"/>
      <c r="E97" s="362"/>
      <c r="F97" s="362"/>
      <c r="G97" s="362"/>
      <c r="H97" s="362"/>
      <c r="I97" s="362"/>
      <c r="J97" s="134"/>
      <c r="K97" s="109"/>
      <c r="L97" s="109"/>
    </row>
    <row r="98" spans="1:12" ht="15.75" customHeight="1">
      <c r="A98" s="351" t="s">
        <v>460</v>
      </c>
      <c r="B98" s="351"/>
      <c r="C98" s="351"/>
      <c r="D98" s="351"/>
      <c r="E98" s="351"/>
      <c r="F98" s="351"/>
      <c r="G98" s="351"/>
      <c r="H98" s="351"/>
      <c r="I98" s="351"/>
      <c r="J98" s="134"/>
      <c r="K98" s="109"/>
      <c r="L98" s="109"/>
    </row>
    <row r="99" spans="1:12" ht="15.75" customHeight="1">
      <c r="A99" s="96">
        <v>5</v>
      </c>
      <c r="B99" s="351" t="s">
        <v>461</v>
      </c>
      <c r="C99" s="351"/>
      <c r="D99" s="351"/>
      <c r="E99" s="351"/>
      <c r="F99" s="351"/>
      <c r="G99" s="351"/>
      <c r="H99" s="96"/>
      <c r="I99" s="96" t="s">
        <v>363</v>
      </c>
      <c r="J99" s="134"/>
      <c r="K99" s="109"/>
      <c r="L99" s="109"/>
    </row>
    <row r="100" spans="1:12" ht="15.75" customHeight="1">
      <c r="A100" s="163" t="s">
        <v>319</v>
      </c>
      <c r="B100" s="357" t="s">
        <v>462</v>
      </c>
      <c r="C100" s="357"/>
      <c r="D100" s="357"/>
      <c r="E100" s="357"/>
      <c r="F100" s="357"/>
      <c r="G100" s="357"/>
      <c r="H100" s="164" t="s">
        <v>303</v>
      </c>
      <c r="I100" s="403">
        <v>625.34</v>
      </c>
      <c r="J100" s="134"/>
      <c r="K100" s="109"/>
      <c r="L100" s="109"/>
    </row>
    <row r="101" spans="1:12" ht="15.75" customHeight="1">
      <c r="A101" s="163" t="s">
        <v>322</v>
      </c>
      <c r="B101" s="357" t="s">
        <v>463</v>
      </c>
      <c r="C101" s="357"/>
      <c r="D101" s="357"/>
      <c r="E101" s="357"/>
      <c r="F101" s="357"/>
      <c r="G101" s="357"/>
      <c r="H101" s="164" t="s">
        <v>303</v>
      </c>
      <c r="I101" s="133">
        <f>EPIS!F23</f>
        <v>35.575000000000003</v>
      </c>
      <c r="J101" s="134"/>
      <c r="K101" s="109"/>
      <c r="L101" s="109"/>
    </row>
    <row r="102" spans="1:12" ht="15.75" customHeight="1">
      <c r="A102" s="163" t="s">
        <v>326</v>
      </c>
      <c r="B102" s="357" t="s">
        <v>464</v>
      </c>
      <c r="C102" s="357"/>
      <c r="D102" s="357"/>
      <c r="E102" s="357"/>
      <c r="F102" s="357"/>
      <c r="G102" s="357"/>
      <c r="H102" s="164" t="s">
        <v>303</v>
      </c>
      <c r="I102" s="403">
        <v>32.08</v>
      </c>
      <c r="J102" s="134"/>
      <c r="K102" s="109"/>
      <c r="L102" s="109"/>
    </row>
    <row r="103" spans="1:12" ht="15.75" customHeight="1">
      <c r="A103" s="163" t="s">
        <v>330</v>
      </c>
      <c r="B103" s="357" t="s">
        <v>465</v>
      </c>
      <c r="C103" s="357"/>
      <c r="D103" s="357"/>
      <c r="E103" s="357"/>
      <c r="F103" s="357"/>
      <c r="G103" s="357"/>
      <c r="H103" s="165" t="s">
        <v>303</v>
      </c>
      <c r="I103" s="403">
        <v>0.91</v>
      </c>
      <c r="J103" s="134"/>
      <c r="K103" s="109"/>
      <c r="L103" s="109"/>
    </row>
    <row r="104" spans="1:12" ht="15.75" customHeight="1">
      <c r="A104" s="351" t="s">
        <v>466</v>
      </c>
      <c r="B104" s="351"/>
      <c r="C104" s="351"/>
      <c r="D104" s="351"/>
      <c r="E104" s="351"/>
      <c r="F104" s="351"/>
      <c r="G104" s="351"/>
      <c r="H104" s="98" t="s">
        <v>303</v>
      </c>
      <c r="I104" s="129">
        <f>SUM(I100:I103)</f>
        <v>693.90500000000009</v>
      </c>
      <c r="J104" s="134"/>
      <c r="K104" s="109"/>
      <c r="L104" s="109"/>
    </row>
    <row r="105" spans="1:12" ht="15.75" customHeight="1">
      <c r="A105" s="371" t="s">
        <v>467</v>
      </c>
      <c r="B105" s="371"/>
      <c r="C105" s="371"/>
      <c r="D105" s="371"/>
      <c r="E105" s="371"/>
      <c r="F105" s="371"/>
      <c r="G105" s="358" t="s">
        <v>386</v>
      </c>
      <c r="H105" s="358"/>
      <c r="I105" s="135">
        <f>I29</f>
        <v>1857.56</v>
      </c>
      <c r="J105" s="134"/>
      <c r="K105" s="109"/>
      <c r="L105" s="109"/>
    </row>
    <row r="106" spans="1:12" ht="15.75" customHeight="1">
      <c r="A106" s="371"/>
      <c r="B106" s="371"/>
      <c r="C106" s="371"/>
      <c r="D106" s="371"/>
      <c r="E106" s="371"/>
      <c r="F106" s="371"/>
      <c r="G106" s="358" t="s">
        <v>430</v>
      </c>
      <c r="H106" s="358"/>
      <c r="I106" s="135">
        <f>I62</f>
        <v>1690.6779999999999</v>
      </c>
      <c r="J106" s="134"/>
      <c r="K106" s="109"/>
      <c r="L106" s="109"/>
    </row>
    <row r="107" spans="1:12" ht="15.75" customHeight="1">
      <c r="A107" s="371"/>
      <c r="B107" s="371"/>
      <c r="C107" s="371"/>
      <c r="D107" s="371"/>
      <c r="E107" s="371"/>
      <c r="F107" s="371"/>
      <c r="G107" s="358" t="s">
        <v>440</v>
      </c>
      <c r="H107" s="358"/>
      <c r="I107" s="135">
        <f>I73</f>
        <v>246.24</v>
      </c>
      <c r="J107" s="134"/>
      <c r="K107" s="109"/>
      <c r="L107" s="109"/>
    </row>
    <row r="108" spans="1:12" ht="15.75" customHeight="1">
      <c r="A108" s="371"/>
      <c r="B108" s="371"/>
      <c r="C108" s="371"/>
      <c r="D108" s="371"/>
      <c r="E108" s="371"/>
      <c r="F108" s="371"/>
      <c r="G108" s="358" t="s">
        <v>468</v>
      </c>
      <c r="H108" s="358"/>
      <c r="I108" s="135">
        <f>I96</f>
        <v>72.86</v>
      </c>
      <c r="J108" s="134"/>
      <c r="K108" s="141"/>
      <c r="L108" s="141"/>
    </row>
    <row r="109" spans="1:12" ht="15.75" customHeight="1">
      <c r="A109" s="371"/>
      <c r="B109" s="371"/>
      <c r="C109" s="371"/>
      <c r="D109" s="371"/>
      <c r="E109" s="371"/>
      <c r="F109" s="371"/>
      <c r="G109" s="358" t="s">
        <v>469</v>
      </c>
      <c r="H109" s="358"/>
      <c r="I109" s="135">
        <f>I104</f>
        <v>693.90500000000009</v>
      </c>
      <c r="J109" s="134"/>
      <c r="K109" s="141"/>
      <c r="L109" s="141"/>
    </row>
    <row r="110" spans="1:12" ht="15.75" customHeight="1">
      <c r="A110" s="371"/>
      <c r="B110" s="371"/>
      <c r="C110" s="371"/>
      <c r="D110" s="371"/>
      <c r="E110" s="371"/>
      <c r="F110" s="371"/>
      <c r="G110" s="359" t="s">
        <v>389</v>
      </c>
      <c r="H110" s="359"/>
      <c r="I110" s="140">
        <f>SUM(I105:I109)</f>
        <v>4561.2430000000004</v>
      </c>
      <c r="J110" s="134"/>
      <c r="K110" s="109"/>
      <c r="L110" s="109"/>
    </row>
    <row r="111" spans="1:12" ht="15.75" customHeight="1">
      <c r="A111" s="351" t="s">
        <v>470</v>
      </c>
      <c r="B111" s="351"/>
      <c r="C111" s="351"/>
      <c r="D111" s="351"/>
      <c r="E111" s="351"/>
      <c r="F111" s="351"/>
      <c r="G111" s="351"/>
      <c r="H111" s="351"/>
      <c r="I111" s="351"/>
      <c r="J111" s="134"/>
      <c r="K111" s="109"/>
      <c r="L111" s="109"/>
    </row>
    <row r="112" spans="1:12" ht="15.75" customHeight="1">
      <c r="A112" s="96">
        <v>6</v>
      </c>
      <c r="B112" s="351" t="s">
        <v>471</v>
      </c>
      <c r="C112" s="351"/>
      <c r="D112" s="351"/>
      <c r="E112" s="351"/>
      <c r="F112" s="351"/>
      <c r="G112" s="351"/>
      <c r="H112" s="96" t="s">
        <v>362</v>
      </c>
      <c r="I112" s="96" t="s">
        <v>363</v>
      </c>
      <c r="J112" s="134"/>
      <c r="K112" s="109"/>
      <c r="L112" s="109"/>
    </row>
    <row r="113" spans="1:12" ht="15.75" customHeight="1">
      <c r="A113" s="95" t="s">
        <v>319</v>
      </c>
      <c r="B113" s="352" t="s">
        <v>472</v>
      </c>
      <c r="C113" s="352"/>
      <c r="D113" s="352"/>
      <c r="E113" s="352"/>
      <c r="F113" s="352"/>
      <c r="G113" s="352"/>
      <c r="H113" s="404">
        <v>1.4999999999999999E-2</v>
      </c>
      <c r="I113" s="133">
        <f>ROUND(H113*I110,2)</f>
        <v>68.42</v>
      </c>
      <c r="J113" s="134"/>
      <c r="K113" s="109"/>
      <c r="L113" s="109"/>
    </row>
    <row r="114" spans="1:12" ht="15.75" customHeight="1">
      <c r="A114" s="95" t="s">
        <v>322</v>
      </c>
      <c r="B114" s="352" t="s">
        <v>473</v>
      </c>
      <c r="C114" s="352"/>
      <c r="D114" s="352"/>
      <c r="E114" s="352"/>
      <c r="F114" s="352"/>
      <c r="G114" s="352"/>
      <c r="H114" s="404">
        <v>1.4999999999999999E-2</v>
      </c>
      <c r="I114" s="133">
        <f>ROUND(H114*(I110+I113),2)</f>
        <v>69.44</v>
      </c>
      <c r="J114" s="134"/>
      <c r="K114" s="109"/>
      <c r="L114" s="109"/>
    </row>
    <row r="115" spans="1:12" ht="15.75" customHeight="1">
      <c r="A115" s="95" t="s">
        <v>326</v>
      </c>
      <c r="B115" s="364" t="s">
        <v>474</v>
      </c>
      <c r="C115" s="364"/>
      <c r="D115" s="364"/>
      <c r="E115" s="364"/>
      <c r="F115" s="364"/>
      <c r="G115" s="364"/>
      <c r="H115" s="97"/>
      <c r="I115" s="184"/>
      <c r="J115" s="134"/>
      <c r="K115" s="109"/>
      <c r="L115" s="109"/>
    </row>
    <row r="116" spans="1:12" ht="15.75" customHeight="1">
      <c r="A116" s="95" t="s">
        <v>475</v>
      </c>
      <c r="B116" s="352" t="s">
        <v>476</v>
      </c>
      <c r="C116" s="352"/>
      <c r="D116" s="352"/>
      <c r="E116" s="352"/>
      <c r="F116" s="352"/>
      <c r="G116" s="352"/>
      <c r="H116" s="404">
        <v>5.7999999999999996E-3</v>
      </c>
      <c r="I116" s="133">
        <f>ROUND($I$126*H116,2)</f>
        <v>29.7</v>
      </c>
      <c r="J116" s="134"/>
      <c r="K116" s="109"/>
      <c r="L116" s="109"/>
    </row>
    <row r="117" spans="1:12" ht="15.75" customHeight="1">
      <c r="A117" s="95" t="s">
        <v>477</v>
      </c>
      <c r="B117" s="352" t="s">
        <v>376</v>
      </c>
      <c r="C117" s="352"/>
      <c r="D117" s="352"/>
      <c r="E117" s="352"/>
      <c r="F117" s="352"/>
      <c r="G117" s="352"/>
      <c r="H117" s="404">
        <v>2.6599999999999999E-2</v>
      </c>
      <c r="I117" s="133">
        <f>ROUND($I$126*H117,2)</f>
        <v>136.22</v>
      </c>
      <c r="J117" s="134"/>
      <c r="K117" s="109"/>
      <c r="L117" s="109"/>
    </row>
    <row r="118" spans="1:12" ht="15.75" customHeight="1">
      <c r="A118" s="95" t="s">
        <v>478</v>
      </c>
      <c r="B118" s="352" t="s">
        <v>479</v>
      </c>
      <c r="C118" s="352"/>
      <c r="D118" s="352"/>
      <c r="E118" s="352"/>
      <c r="F118" s="352"/>
      <c r="G118" s="352"/>
      <c r="H118" s="167">
        <v>0.05</v>
      </c>
      <c r="I118" s="133">
        <f>ROUND($I$126*H118,2)</f>
        <v>256.05</v>
      </c>
      <c r="J118" s="134"/>
      <c r="K118" s="109"/>
      <c r="L118" s="109"/>
    </row>
    <row r="119" spans="1:12" ht="15.75" customHeight="1">
      <c r="A119" s="351" t="s">
        <v>480</v>
      </c>
      <c r="B119" s="351"/>
      <c r="C119" s="351"/>
      <c r="D119" s="351"/>
      <c r="E119" s="351"/>
      <c r="F119" s="351"/>
      <c r="G119" s="351"/>
      <c r="H119" s="168">
        <f>SUM(H113:H118)</f>
        <v>0.1124</v>
      </c>
      <c r="I119" s="129">
        <f>SUM(I113:I118)</f>
        <v>559.82999999999993</v>
      </c>
      <c r="J119" s="134"/>
      <c r="K119" s="109"/>
      <c r="L119" s="109"/>
    </row>
    <row r="120" spans="1:12" ht="15.75" customHeight="1">
      <c r="A120" s="353"/>
      <c r="B120" s="353"/>
      <c r="C120" s="353"/>
      <c r="D120" s="353"/>
      <c r="E120" s="353"/>
      <c r="F120" s="353"/>
      <c r="G120" s="353"/>
      <c r="H120" s="353"/>
      <c r="I120" s="353"/>
      <c r="J120" s="134"/>
      <c r="K120" s="109"/>
      <c r="L120" s="109"/>
    </row>
    <row r="121" spans="1:12" ht="15.75" customHeight="1">
      <c r="A121" s="172" t="s">
        <v>481</v>
      </c>
      <c r="B121" s="365" t="s">
        <v>482</v>
      </c>
      <c r="C121" s="365"/>
      <c r="D121" s="365"/>
      <c r="E121" s="365"/>
      <c r="F121" s="365"/>
      <c r="G121" s="365"/>
      <c r="H121" s="174">
        <f>SUM(H116+H117+H118)</f>
        <v>8.2400000000000001E-2</v>
      </c>
      <c r="I121" s="186"/>
      <c r="J121" s="134"/>
      <c r="K121" s="109"/>
      <c r="L121" s="109"/>
    </row>
    <row r="122" spans="1:12" ht="15.75" customHeight="1">
      <c r="A122" s="172"/>
      <c r="B122" s="365">
        <v>100</v>
      </c>
      <c r="C122" s="365"/>
      <c r="D122" s="365"/>
      <c r="E122" s="365"/>
      <c r="F122" s="365"/>
      <c r="G122" s="365"/>
      <c r="H122" s="174"/>
      <c r="I122" s="186"/>
      <c r="J122" s="134"/>
      <c r="K122" s="109"/>
      <c r="L122" s="109"/>
    </row>
    <row r="123" spans="1:12" ht="15.75" customHeight="1">
      <c r="A123" s="175"/>
      <c r="B123" s="176"/>
      <c r="C123" s="176"/>
      <c r="D123" s="176"/>
      <c r="E123" s="176"/>
      <c r="F123" s="176"/>
      <c r="G123" s="176"/>
      <c r="H123" s="176"/>
      <c r="I123" s="187"/>
      <c r="J123" s="134"/>
      <c r="K123" s="141"/>
      <c r="L123" s="141"/>
    </row>
    <row r="124" spans="1:12" ht="15.75" customHeight="1">
      <c r="A124" s="172" t="s">
        <v>483</v>
      </c>
      <c r="B124" s="365" t="s">
        <v>484</v>
      </c>
      <c r="C124" s="365"/>
      <c r="D124" s="365"/>
      <c r="E124" s="365"/>
      <c r="F124" s="365"/>
      <c r="G124" s="365"/>
      <c r="H124" s="174"/>
      <c r="I124" s="186">
        <f>I110+I113+I114</f>
        <v>4699.1030000000001</v>
      </c>
      <c r="J124" s="134"/>
      <c r="K124" s="109"/>
      <c r="L124" s="109"/>
    </row>
    <row r="125" spans="1:12" ht="15.75" customHeight="1">
      <c r="A125" s="177"/>
      <c r="B125" s="178"/>
      <c r="C125" s="178"/>
      <c r="D125" s="178"/>
      <c r="E125" s="178"/>
      <c r="F125" s="178"/>
      <c r="G125" s="178"/>
      <c r="H125" s="178"/>
      <c r="I125" s="188"/>
      <c r="J125" s="134"/>
      <c r="K125" s="109"/>
      <c r="L125" s="109"/>
    </row>
    <row r="126" spans="1:12" ht="15.75" customHeight="1">
      <c r="A126" s="172" t="s">
        <v>485</v>
      </c>
      <c r="B126" s="365" t="s">
        <v>486</v>
      </c>
      <c r="C126" s="365"/>
      <c r="D126" s="365"/>
      <c r="E126" s="365"/>
      <c r="F126" s="365"/>
      <c r="G126" s="365"/>
      <c r="H126" s="174"/>
      <c r="I126" s="186">
        <f>ROUND(I124/(1-H121),2)</f>
        <v>5121.08</v>
      </c>
      <c r="J126" s="134"/>
      <c r="K126" s="109"/>
      <c r="L126" s="109"/>
    </row>
    <row r="127" spans="1:12" ht="15.75" customHeight="1">
      <c r="A127" s="172"/>
      <c r="B127" s="173"/>
      <c r="C127" s="173"/>
      <c r="D127" s="173"/>
      <c r="E127" s="173"/>
      <c r="F127" s="173"/>
      <c r="G127" s="173"/>
      <c r="H127" s="174"/>
      <c r="I127" s="186"/>
      <c r="J127" s="134"/>
      <c r="K127" s="109"/>
      <c r="L127" s="109"/>
    </row>
    <row r="128" spans="1:12" ht="15.75" customHeight="1">
      <c r="A128" s="172"/>
      <c r="B128" s="365" t="s">
        <v>487</v>
      </c>
      <c r="C128" s="365"/>
      <c r="D128" s="365"/>
      <c r="E128" s="365"/>
      <c r="F128" s="365"/>
      <c r="G128" s="365"/>
      <c r="H128" s="174"/>
      <c r="I128" s="186">
        <f>I126-I124</f>
        <v>421.97699999999986</v>
      </c>
      <c r="J128" s="134"/>
      <c r="K128" s="109"/>
      <c r="L128" s="109"/>
    </row>
    <row r="129" spans="1:12" ht="15.75" customHeight="1">
      <c r="A129" s="192"/>
      <c r="B129" s="193"/>
      <c r="C129" s="193"/>
      <c r="D129" s="193"/>
      <c r="E129" s="193"/>
      <c r="F129" s="193"/>
      <c r="G129" s="193"/>
      <c r="H129" s="193"/>
      <c r="I129" s="198"/>
      <c r="J129" s="134"/>
      <c r="K129" s="109"/>
      <c r="L129" s="109"/>
    </row>
    <row r="130" spans="1:12" ht="15.75" customHeight="1">
      <c r="A130" s="351" t="s">
        <v>488</v>
      </c>
      <c r="B130" s="351"/>
      <c r="C130" s="351"/>
      <c r="D130" s="351"/>
      <c r="E130" s="351"/>
      <c r="F130" s="351"/>
      <c r="G130" s="351"/>
      <c r="H130" s="351"/>
      <c r="I130" s="351"/>
      <c r="J130" s="134"/>
      <c r="K130" s="109"/>
      <c r="L130" s="109"/>
    </row>
    <row r="131" spans="1:12" ht="15.75" customHeight="1">
      <c r="A131" s="351" t="s">
        <v>489</v>
      </c>
      <c r="B131" s="351"/>
      <c r="C131" s="351"/>
      <c r="D131" s="351"/>
      <c r="E131" s="351"/>
      <c r="F131" s="351"/>
      <c r="G131" s="351"/>
      <c r="H131" s="351"/>
      <c r="I131" s="96" t="s">
        <v>363</v>
      </c>
      <c r="J131" s="134"/>
      <c r="K131" s="141"/>
      <c r="L131" s="141"/>
    </row>
    <row r="132" spans="1:12" ht="15.75" customHeight="1">
      <c r="A132" s="63" t="s">
        <v>319</v>
      </c>
      <c r="B132" s="352" t="str">
        <f>A21</f>
        <v>MÓDULO 1 - COMPOSIÇÃO DA REMUNERAÇÃO</v>
      </c>
      <c r="C132" s="352"/>
      <c r="D132" s="352"/>
      <c r="E132" s="352"/>
      <c r="F132" s="352"/>
      <c r="G132" s="352"/>
      <c r="H132" s="352"/>
      <c r="I132" s="189">
        <f>I29</f>
        <v>1857.56</v>
      </c>
      <c r="J132" s="134"/>
      <c r="K132" s="141"/>
      <c r="L132" s="141"/>
    </row>
    <row r="133" spans="1:12" ht="15.75" customHeight="1">
      <c r="A133" s="63" t="s">
        <v>322</v>
      </c>
      <c r="B133" s="352" t="str">
        <f>A31</f>
        <v>MÓDULO 2 – ENCARGOS E BENEFÍCIOS ANUAIS, MENSAIS E DIÁRIOS</v>
      </c>
      <c r="C133" s="352"/>
      <c r="D133" s="352"/>
      <c r="E133" s="352"/>
      <c r="F133" s="352"/>
      <c r="G133" s="352"/>
      <c r="H133" s="352"/>
      <c r="I133" s="189">
        <f>I62</f>
        <v>1690.6779999999999</v>
      </c>
      <c r="J133" s="134"/>
      <c r="K133" s="141"/>
      <c r="L133" s="141"/>
    </row>
    <row r="134" spans="1:12" ht="15.75" customHeight="1">
      <c r="A134" s="63" t="s">
        <v>326</v>
      </c>
      <c r="B134" s="352" t="str">
        <f>A66</f>
        <v>MÓDULO 3 – PROVISÃO PARA RESCISÃO</v>
      </c>
      <c r="C134" s="352"/>
      <c r="D134" s="352"/>
      <c r="E134" s="352"/>
      <c r="F134" s="352"/>
      <c r="G134" s="352"/>
      <c r="H134" s="352"/>
      <c r="I134" s="189">
        <f>I73</f>
        <v>246.24</v>
      </c>
      <c r="J134" s="134"/>
      <c r="K134" s="100"/>
      <c r="L134" s="100"/>
    </row>
    <row r="135" spans="1:12" ht="15.75" customHeight="1">
      <c r="A135" s="63" t="s">
        <v>330</v>
      </c>
      <c r="B135" s="352" t="str">
        <f>A78</f>
        <v>MÓDULO 4 – CUSTO DE REPOSIÇÃO DO PROFISSIONAL AUSENTE</v>
      </c>
      <c r="C135" s="352"/>
      <c r="D135" s="352"/>
      <c r="E135" s="352"/>
      <c r="F135" s="352"/>
      <c r="G135" s="352"/>
      <c r="H135" s="352"/>
      <c r="I135" s="189">
        <f>I96</f>
        <v>72.86</v>
      </c>
      <c r="J135" s="190"/>
      <c r="K135" s="100"/>
      <c r="L135" s="100"/>
    </row>
    <row r="136" spans="1:12" ht="15.75" customHeight="1">
      <c r="A136" s="63" t="s">
        <v>372</v>
      </c>
      <c r="B136" s="352" t="str">
        <f>A98</f>
        <v>MÓDULO 5 – INSUMOS DIVERSOS</v>
      </c>
      <c r="C136" s="352"/>
      <c r="D136" s="352"/>
      <c r="E136" s="352"/>
      <c r="F136" s="352"/>
      <c r="G136" s="352"/>
      <c r="H136" s="352"/>
      <c r="I136" s="189">
        <f>I104</f>
        <v>693.90500000000009</v>
      </c>
      <c r="J136" s="134"/>
      <c r="K136" s="100"/>
      <c r="L136" s="100"/>
    </row>
    <row r="137" spans="1:12" ht="15.75" customHeight="1">
      <c r="A137" s="351" t="s">
        <v>490</v>
      </c>
      <c r="B137" s="351"/>
      <c r="C137" s="351"/>
      <c r="D137" s="351"/>
      <c r="E137" s="351"/>
      <c r="F137" s="351"/>
      <c r="G137" s="351"/>
      <c r="H137" s="351"/>
      <c r="I137" s="129">
        <f>SUM(I132:I136)</f>
        <v>4561.2430000000004</v>
      </c>
      <c r="J137" s="134"/>
    </row>
    <row r="138" spans="1:12" ht="15.75" customHeight="1">
      <c r="A138" s="63" t="s">
        <v>374</v>
      </c>
      <c r="B138" s="352" t="str">
        <f>A111</f>
        <v>MÓDULO 6 – CUSTOS INDIRETOS, TRIBUTOS E LUCRO</v>
      </c>
      <c r="C138" s="352"/>
      <c r="D138" s="352"/>
      <c r="E138" s="352"/>
      <c r="F138" s="352"/>
      <c r="G138" s="352"/>
      <c r="H138" s="352"/>
      <c r="I138" s="189">
        <f>I119</f>
        <v>559.82999999999993</v>
      </c>
      <c r="J138" s="191">
        <f>SUM(J28:J137)</f>
        <v>3300.0837999999999</v>
      </c>
    </row>
    <row r="139" spans="1:12" ht="15.75" customHeight="1">
      <c r="A139" s="351" t="s">
        <v>491</v>
      </c>
      <c r="B139" s="351"/>
      <c r="C139" s="351"/>
      <c r="D139" s="351"/>
      <c r="E139" s="351"/>
      <c r="F139" s="351"/>
      <c r="G139" s="351"/>
      <c r="H139" s="351"/>
      <c r="I139" s="129">
        <f>SUM(I137:I138)</f>
        <v>5121.0730000000003</v>
      </c>
    </row>
    <row r="140" spans="1:12" ht="15.75" customHeight="1">
      <c r="E140" s="199"/>
      <c r="F140" s="199"/>
      <c r="G140" s="199"/>
    </row>
    <row r="141" spans="1:12" ht="15.75" customHeight="1">
      <c r="A141" s="196" t="s">
        <v>503</v>
      </c>
      <c r="B141" s="197"/>
      <c r="C141" s="197"/>
      <c r="D141" s="197"/>
      <c r="E141" s="197"/>
      <c r="F141" s="197"/>
      <c r="G141" s="197"/>
    </row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0"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67" firstPageNumber="0" orientation="portrait" useFirstPageNumber="1" horizontalDpi="300" verticalDpi="300"/>
  <rowBreaks count="1" manualBreakCount="1">
    <brk id="65" max="16383" man="1"/>
  </row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97"/>
  <sheetViews>
    <sheetView topLeftCell="A94" zoomScale="70" zoomScaleNormal="70" workbookViewId="0">
      <selection activeCell="B114" sqref="B114:G114"/>
    </sheetView>
  </sheetViews>
  <sheetFormatPr defaultColWidth="9" defaultRowHeight="15"/>
  <cols>
    <col min="1" max="1" width="7.42578125" customWidth="1"/>
    <col min="2" max="2" width="10.85546875" customWidth="1"/>
    <col min="3" max="4" width="14.85546875" customWidth="1"/>
    <col min="5" max="5" width="12.42578125" customWidth="1"/>
    <col min="6" max="6" width="10.42578125" customWidth="1"/>
    <col min="7" max="7" width="14.7109375" customWidth="1"/>
    <col min="8" max="8" width="17.28515625" customWidth="1"/>
    <col min="9" max="9" width="28.5703125" customWidth="1"/>
    <col min="10" max="10" width="22.7109375" customWidth="1"/>
    <col min="11" max="11" width="63.85546875" customWidth="1"/>
    <col min="12" max="12" width="28" customWidth="1"/>
    <col min="13" max="1025" width="14.42578125" customWidth="1"/>
  </cols>
  <sheetData>
    <row r="1" spans="1:12" ht="15.75">
      <c r="A1" s="348" t="s">
        <v>504</v>
      </c>
      <c r="B1" s="348"/>
      <c r="C1" s="348"/>
      <c r="D1" s="348"/>
      <c r="E1" s="348"/>
      <c r="F1" s="348"/>
      <c r="G1" s="348"/>
      <c r="H1" s="348"/>
      <c r="I1" s="348"/>
      <c r="J1" s="366" t="s">
        <v>315</v>
      </c>
      <c r="K1" s="100"/>
      <c r="L1" s="100"/>
    </row>
    <row r="2" spans="1:12" ht="15.75">
      <c r="A2" s="348"/>
      <c r="B2" s="348"/>
      <c r="C2" s="348"/>
      <c r="D2" s="348"/>
      <c r="E2" s="348"/>
      <c r="F2" s="348"/>
      <c r="G2" s="348"/>
      <c r="H2" s="348"/>
      <c r="I2" s="348"/>
      <c r="J2" s="366"/>
      <c r="K2" s="100"/>
      <c r="L2" s="100"/>
    </row>
    <row r="3" spans="1:12" ht="15.75">
      <c r="A3" s="348" t="s">
        <v>316</v>
      </c>
      <c r="B3" s="348"/>
      <c r="C3" s="348"/>
      <c r="D3" s="348"/>
      <c r="E3" s="348"/>
      <c r="F3" s="348"/>
      <c r="G3" s="348"/>
      <c r="H3" s="350" t="s">
        <v>317</v>
      </c>
      <c r="I3" s="350"/>
      <c r="J3" s="366"/>
      <c r="K3" s="100"/>
      <c r="L3" s="100"/>
    </row>
    <row r="4" spans="1:12" ht="15.75">
      <c r="A4" s="348"/>
      <c r="B4" s="348"/>
      <c r="C4" s="348"/>
      <c r="D4" s="348"/>
      <c r="E4" s="348"/>
      <c r="F4" s="348"/>
      <c r="G4" s="348"/>
      <c r="H4" s="348"/>
      <c r="I4" s="348"/>
      <c r="J4" s="366"/>
      <c r="K4" s="101"/>
      <c r="L4" s="101"/>
    </row>
    <row r="5" spans="1:12" ht="15.75">
      <c r="A5" s="351" t="s">
        <v>318</v>
      </c>
      <c r="B5" s="351"/>
      <c r="C5" s="351"/>
      <c r="D5" s="351"/>
      <c r="E5" s="351"/>
      <c r="F5" s="351"/>
      <c r="G5" s="351"/>
      <c r="H5" s="351"/>
      <c r="I5" s="351"/>
      <c r="J5" s="366"/>
      <c r="K5" s="100"/>
      <c r="L5" s="100"/>
    </row>
    <row r="6" spans="1:12" ht="15.75">
      <c r="A6" s="63" t="s">
        <v>319</v>
      </c>
      <c r="B6" s="352" t="s">
        <v>320</v>
      </c>
      <c r="C6" s="352"/>
      <c r="D6" s="352"/>
      <c r="E6" s="352"/>
      <c r="F6" s="352"/>
      <c r="G6" s="352"/>
      <c r="H6" s="352"/>
      <c r="I6" s="102"/>
      <c r="J6" s="366"/>
      <c r="K6" s="103" t="s">
        <v>321</v>
      </c>
      <c r="L6" s="104"/>
    </row>
    <row r="7" spans="1:12" ht="15.75">
      <c r="A7" s="63" t="s">
        <v>322</v>
      </c>
      <c r="B7" s="352" t="s">
        <v>323</v>
      </c>
      <c r="C7" s="352"/>
      <c r="D7" s="352"/>
      <c r="E7" s="352"/>
      <c r="F7" s="352"/>
      <c r="G7" s="352"/>
      <c r="H7" s="352"/>
      <c r="I7" s="63" t="s">
        <v>324</v>
      </c>
      <c r="J7" s="366"/>
      <c r="K7" s="105" t="s">
        <v>325</v>
      </c>
      <c r="L7" s="106"/>
    </row>
    <row r="8" spans="1:12" ht="15.75">
      <c r="A8" s="63" t="s">
        <v>326</v>
      </c>
      <c r="B8" s="352" t="s">
        <v>327</v>
      </c>
      <c r="C8" s="352"/>
      <c r="D8" s="352"/>
      <c r="E8" s="352"/>
      <c r="F8" s="352"/>
      <c r="G8" s="352"/>
      <c r="H8" s="352"/>
      <c r="I8" s="63" t="s">
        <v>328</v>
      </c>
      <c r="J8" s="366"/>
      <c r="K8" s="107" t="s">
        <v>329</v>
      </c>
      <c r="L8" s="108">
        <f>J138</f>
        <v>2851.2740400000002</v>
      </c>
    </row>
    <row r="9" spans="1:12" ht="15.75">
      <c r="A9" s="63" t="s">
        <v>330</v>
      </c>
      <c r="B9" s="352" t="s">
        <v>331</v>
      </c>
      <c r="C9" s="352"/>
      <c r="D9" s="352"/>
      <c r="E9" s="352"/>
      <c r="F9" s="352"/>
      <c r="G9" s="352"/>
      <c r="H9" s="352"/>
      <c r="I9" s="63">
        <v>12</v>
      </c>
      <c r="J9" s="366"/>
      <c r="K9" s="109"/>
      <c r="L9" s="109"/>
    </row>
    <row r="10" spans="1:12" ht="15.75">
      <c r="A10" s="353"/>
      <c r="B10" s="353"/>
      <c r="C10" s="353"/>
      <c r="D10" s="353"/>
      <c r="E10" s="353"/>
      <c r="F10" s="353"/>
      <c r="G10" s="353"/>
      <c r="H10" s="353"/>
      <c r="I10" s="353"/>
      <c r="J10" s="366"/>
      <c r="K10" s="103" t="s">
        <v>332</v>
      </c>
      <c r="L10" s="104"/>
    </row>
    <row r="11" spans="1:12" ht="12.75" customHeight="1">
      <c r="A11" s="351" t="s">
        <v>333</v>
      </c>
      <c r="B11" s="351"/>
      <c r="C11" s="351"/>
      <c r="D11" s="351"/>
      <c r="E11" s="351"/>
      <c r="F11" s="351"/>
      <c r="G11" s="351"/>
      <c r="H11" s="351"/>
      <c r="I11" s="351"/>
      <c r="J11" s="366"/>
      <c r="K11" s="110" t="s">
        <v>334</v>
      </c>
      <c r="L11" s="111"/>
    </row>
    <row r="12" spans="1:12" ht="15.75">
      <c r="A12" s="350" t="s">
        <v>335</v>
      </c>
      <c r="B12" s="350"/>
      <c r="C12" s="350" t="s">
        <v>336</v>
      </c>
      <c r="D12" s="350"/>
      <c r="E12" s="350" t="s">
        <v>337</v>
      </c>
      <c r="F12" s="350"/>
      <c r="G12" s="350"/>
      <c r="H12" s="350"/>
      <c r="I12" s="350"/>
      <c r="J12" s="366"/>
      <c r="K12" s="112" t="s">
        <v>338</v>
      </c>
      <c r="L12" s="113">
        <v>0.11</v>
      </c>
    </row>
    <row r="13" spans="1:12" ht="15.75">
      <c r="A13" s="354" t="s">
        <v>339</v>
      </c>
      <c r="B13" s="354"/>
      <c r="C13" s="355" t="s">
        <v>499</v>
      </c>
      <c r="D13" s="355"/>
      <c r="E13" s="350"/>
      <c r="F13" s="350"/>
      <c r="G13" s="350"/>
      <c r="H13" s="350"/>
      <c r="I13" s="350"/>
      <c r="J13" s="366"/>
      <c r="K13" s="114" t="s">
        <v>341</v>
      </c>
      <c r="L13" s="115">
        <f>I52</f>
        <v>473.82</v>
      </c>
    </row>
    <row r="14" spans="1:12" ht="15.75">
      <c r="A14" s="351" t="s">
        <v>342</v>
      </c>
      <c r="B14" s="351"/>
      <c r="C14" s="351"/>
      <c r="D14" s="351"/>
      <c r="E14" s="351"/>
      <c r="F14" s="351"/>
      <c r="G14" s="351"/>
      <c r="H14" s="351"/>
      <c r="I14" s="351"/>
      <c r="J14" s="366"/>
      <c r="K14" s="114" t="s">
        <v>343</v>
      </c>
      <c r="L14" s="115">
        <f>I104</f>
        <v>693.90500000000009</v>
      </c>
    </row>
    <row r="15" spans="1:12" ht="26.25">
      <c r="A15" s="63">
        <v>1</v>
      </c>
      <c r="B15" s="352" t="s">
        <v>344</v>
      </c>
      <c r="C15" s="352"/>
      <c r="D15" s="352"/>
      <c r="E15" s="352"/>
      <c r="F15" s="352"/>
      <c r="G15" s="352"/>
      <c r="H15" s="352"/>
      <c r="I15" s="69" t="s">
        <v>500</v>
      </c>
      <c r="J15" s="366"/>
      <c r="K15" s="114" t="s">
        <v>346</v>
      </c>
      <c r="L15" s="115">
        <f>I51</f>
        <v>0</v>
      </c>
    </row>
    <row r="16" spans="1:12" ht="15.75">
      <c r="A16" s="63">
        <v>2</v>
      </c>
      <c r="B16" s="352" t="s">
        <v>347</v>
      </c>
      <c r="C16" s="352"/>
      <c r="D16" s="352"/>
      <c r="E16" s="352"/>
      <c r="F16" s="352"/>
      <c r="G16" s="352"/>
      <c r="H16" s="352"/>
      <c r="I16" s="63" t="s">
        <v>501</v>
      </c>
      <c r="J16" s="366"/>
      <c r="K16" s="116" t="s">
        <v>349</v>
      </c>
      <c r="L16" s="117">
        <f>SUM(L13:L15)</f>
        <v>1167.7250000000001</v>
      </c>
    </row>
    <row r="17" spans="1:12" ht="15.75">
      <c r="A17" s="63">
        <v>3</v>
      </c>
      <c r="B17" s="352" t="s">
        <v>350</v>
      </c>
      <c r="C17" s="352"/>
      <c r="D17" s="352"/>
      <c r="E17" s="352"/>
      <c r="F17" s="352"/>
      <c r="G17" s="352"/>
      <c r="H17" s="352"/>
      <c r="I17" s="64">
        <v>1553.96</v>
      </c>
      <c r="J17" s="366"/>
      <c r="K17" s="114" t="s">
        <v>351</v>
      </c>
      <c r="L17" s="118">
        <f>I139</f>
        <v>4517.973</v>
      </c>
    </row>
    <row r="18" spans="1:12" ht="51">
      <c r="A18" s="6">
        <v>4</v>
      </c>
      <c r="B18" s="356" t="s">
        <v>352</v>
      </c>
      <c r="C18" s="356"/>
      <c r="D18" s="356"/>
      <c r="E18" s="356"/>
      <c r="F18" s="356"/>
      <c r="G18" s="356"/>
      <c r="H18" s="356"/>
      <c r="I18" s="13" t="s">
        <v>353</v>
      </c>
      <c r="J18" s="366"/>
      <c r="K18" s="119" t="s">
        <v>354</v>
      </c>
      <c r="L18" s="120">
        <f>L17-L16</f>
        <v>3350.2479999999996</v>
      </c>
    </row>
    <row r="19" spans="1:12" ht="15.75">
      <c r="A19" s="63">
        <v>5</v>
      </c>
      <c r="B19" s="352" t="s">
        <v>355</v>
      </c>
      <c r="C19" s="352"/>
      <c r="D19" s="352"/>
      <c r="E19" s="352"/>
      <c r="F19" s="352"/>
      <c r="G19" s="352"/>
      <c r="H19" s="352"/>
      <c r="I19" s="102" t="s">
        <v>356</v>
      </c>
      <c r="J19" s="366"/>
      <c r="K19" s="121" t="s">
        <v>357</v>
      </c>
      <c r="L19" s="122">
        <f>L18*11%</f>
        <v>368.52727999999996</v>
      </c>
    </row>
    <row r="20" spans="1:12" ht="15.75">
      <c r="A20" s="357"/>
      <c r="B20" s="357"/>
      <c r="C20" s="357"/>
      <c r="D20" s="357"/>
      <c r="E20" s="357"/>
      <c r="F20" s="357"/>
      <c r="G20" s="357"/>
      <c r="H20" s="357"/>
      <c r="I20" s="357"/>
      <c r="J20" s="366"/>
      <c r="K20" s="112" t="s">
        <v>358</v>
      </c>
      <c r="L20" s="123"/>
    </row>
    <row r="21" spans="1:12" ht="15.75" customHeight="1">
      <c r="A21" s="351" t="s">
        <v>359</v>
      </c>
      <c r="B21" s="351"/>
      <c r="C21" s="351"/>
      <c r="D21" s="351"/>
      <c r="E21" s="351"/>
      <c r="F21" s="351"/>
      <c r="G21" s="351"/>
      <c r="H21" s="351"/>
      <c r="I21" s="351"/>
      <c r="J21" s="366"/>
      <c r="K21" s="124" t="s">
        <v>360</v>
      </c>
      <c r="L21" s="125">
        <v>1.2E-2</v>
      </c>
    </row>
    <row r="22" spans="1:12" ht="15.75" customHeight="1">
      <c r="A22" s="95">
        <v>1</v>
      </c>
      <c r="B22" s="351" t="s">
        <v>361</v>
      </c>
      <c r="C22" s="351"/>
      <c r="D22" s="351"/>
      <c r="E22" s="351"/>
      <c r="F22" s="351"/>
      <c r="G22" s="351"/>
      <c r="H22" s="96" t="s">
        <v>362</v>
      </c>
      <c r="I22" s="96" t="s">
        <v>363</v>
      </c>
      <c r="J22" s="366"/>
      <c r="K22" s="126" t="s">
        <v>364</v>
      </c>
      <c r="L22" s="127">
        <v>4.8000000000000001E-2</v>
      </c>
    </row>
    <row r="23" spans="1:12" ht="15.75" customHeight="1">
      <c r="A23" s="95" t="s">
        <v>319</v>
      </c>
      <c r="B23" s="352" t="s">
        <v>365</v>
      </c>
      <c r="C23" s="352"/>
      <c r="D23" s="352"/>
      <c r="E23" s="352"/>
      <c r="F23" s="352"/>
      <c r="G23" s="352"/>
      <c r="H23" s="62"/>
      <c r="I23" s="128">
        <f>I17</f>
        <v>1553.96</v>
      </c>
      <c r="J23" s="366"/>
      <c r="K23" s="114" t="s">
        <v>366</v>
      </c>
      <c r="L23" s="118">
        <f>L17</f>
        <v>4517.973</v>
      </c>
    </row>
    <row r="24" spans="1:12" ht="15.75" customHeight="1">
      <c r="A24" s="95" t="s">
        <v>322</v>
      </c>
      <c r="B24" s="352" t="s">
        <v>367</v>
      </c>
      <c r="C24" s="352"/>
      <c r="D24" s="352"/>
      <c r="E24" s="352"/>
      <c r="F24" s="352"/>
      <c r="G24" s="352"/>
      <c r="H24" s="97"/>
      <c r="I24" s="128">
        <v>0</v>
      </c>
      <c r="J24" s="366"/>
      <c r="K24" s="121" t="s">
        <v>368</v>
      </c>
      <c r="L24" s="122">
        <f>L23*L21</f>
        <v>54.215676000000002</v>
      </c>
    </row>
    <row r="25" spans="1:12" ht="15.75" customHeight="1">
      <c r="A25" s="95" t="s">
        <v>326</v>
      </c>
      <c r="B25" s="352" t="s">
        <v>369</v>
      </c>
      <c r="C25" s="352"/>
      <c r="D25" s="352"/>
      <c r="E25" s="352"/>
      <c r="F25" s="352"/>
      <c r="G25" s="352"/>
      <c r="H25" s="97"/>
      <c r="I25" s="128">
        <v>0</v>
      </c>
      <c r="J25" s="366"/>
      <c r="K25" s="112" t="s">
        <v>370</v>
      </c>
      <c r="L25" s="113">
        <v>0.01</v>
      </c>
    </row>
    <row r="26" spans="1:12" ht="15.75" customHeight="1">
      <c r="A26" s="95" t="s">
        <v>330</v>
      </c>
      <c r="B26" s="352" t="s">
        <v>371</v>
      </c>
      <c r="C26" s="352"/>
      <c r="D26" s="352"/>
      <c r="E26" s="352"/>
      <c r="F26" s="352"/>
      <c r="G26" s="352"/>
      <c r="H26" s="97"/>
      <c r="I26" s="128">
        <v>0</v>
      </c>
      <c r="J26" s="366"/>
      <c r="K26" s="119" t="s">
        <v>351</v>
      </c>
      <c r="L26" s="120">
        <f>L17</f>
        <v>4517.973</v>
      </c>
    </row>
    <row r="27" spans="1:12" ht="15.75" customHeight="1">
      <c r="A27" s="95" t="s">
        <v>372</v>
      </c>
      <c r="B27" s="352" t="s">
        <v>373</v>
      </c>
      <c r="C27" s="352"/>
      <c r="D27" s="352"/>
      <c r="E27" s="352"/>
      <c r="F27" s="352"/>
      <c r="G27" s="352"/>
      <c r="H27" s="97"/>
      <c r="I27" s="128">
        <v>0</v>
      </c>
      <c r="J27" s="366"/>
      <c r="K27" s="121" t="s">
        <v>357</v>
      </c>
      <c r="L27" s="122">
        <f>L26*L25</f>
        <v>45.179729999999999</v>
      </c>
    </row>
    <row r="28" spans="1:12" ht="15.75" customHeight="1">
      <c r="A28" s="95" t="s">
        <v>374</v>
      </c>
      <c r="B28" s="352" t="s">
        <v>375</v>
      </c>
      <c r="C28" s="352"/>
      <c r="D28" s="352"/>
      <c r="E28" s="352"/>
      <c r="F28" s="352"/>
      <c r="G28" s="352"/>
      <c r="H28" s="97"/>
      <c r="I28" s="128">
        <v>0</v>
      </c>
      <c r="J28" s="366"/>
      <c r="K28" s="112" t="s">
        <v>376</v>
      </c>
      <c r="L28" s="113">
        <f>H117</f>
        <v>2.6599999999999999E-2</v>
      </c>
    </row>
    <row r="29" spans="1:12" ht="15.75" customHeight="1">
      <c r="A29" s="351" t="s">
        <v>377</v>
      </c>
      <c r="B29" s="351"/>
      <c r="C29" s="351"/>
      <c r="D29" s="351"/>
      <c r="E29" s="351"/>
      <c r="F29" s="351"/>
      <c r="G29" s="351"/>
      <c r="H29" s="351"/>
      <c r="I29" s="129">
        <f>SUM(I23:I28)</f>
        <v>1553.96</v>
      </c>
      <c r="J29" s="130">
        <f>SUM(I23:I28)</f>
        <v>1553.96</v>
      </c>
      <c r="K29" s="119" t="s">
        <v>351</v>
      </c>
      <c r="L29" s="120">
        <f>L17</f>
        <v>4517.973</v>
      </c>
    </row>
    <row r="30" spans="1:12" ht="15.7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131"/>
      <c r="K30" s="121" t="s">
        <v>357</v>
      </c>
      <c r="L30" s="122">
        <f>L29*L28</f>
        <v>120.17808179999999</v>
      </c>
    </row>
    <row r="31" spans="1:12" ht="15.75" customHeight="1">
      <c r="A31" s="351" t="s">
        <v>378</v>
      </c>
      <c r="B31" s="351"/>
      <c r="C31" s="351"/>
      <c r="D31" s="351"/>
      <c r="E31" s="351"/>
      <c r="F31" s="351"/>
      <c r="G31" s="351"/>
      <c r="H31" s="351"/>
      <c r="I31" s="351"/>
      <c r="J31" s="131"/>
      <c r="K31" s="112" t="s">
        <v>379</v>
      </c>
      <c r="L31" s="113">
        <f>H116</f>
        <v>5.7999999999999996E-3</v>
      </c>
    </row>
    <row r="32" spans="1:12" ht="15.75" customHeight="1">
      <c r="A32" s="351" t="s">
        <v>380</v>
      </c>
      <c r="B32" s="351"/>
      <c r="C32" s="351"/>
      <c r="D32" s="351"/>
      <c r="E32" s="351"/>
      <c r="F32" s="351"/>
      <c r="G32" s="351"/>
      <c r="H32" s="96" t="s">
        <v>362</v>
      </c>
      <c r="I32" s="96" t="s">
        <v>363</v>
      </c>
      <c r="J32" s="132"/>
      <c r="K32" s="119" t="s">
        <v>351</v>
      </c>
      <c r="L32" s="120">
        <f>L17</f>
        <v>4517.973</v>
      </c>
    </row>
    <row r="33" spans="1:12" ht="15.75" customHeight="1">
      <c r="A33" s="95" t="s">
        <v>319</v>
      </c>
      <c r="B33" s="352" t="s">
        <v>381</v>
      </c>
      <c r="C33" s="352"/>
      <c r="D33" s="352"/>
      <c r="E33" s="352"/>
      <c r="F33" s="352"/>
      <c r="G33" s="352"/>
      <c r="H33" s="97">
        <f>ROUND(1/12,4)</f>
        <v>8.3299999999999999E-2</v>
      </c>
      <c r="I33" s="133">
        <f>ROUND(I29*H33,2)</f>
        <v>129.44</v>
      </c>
      <c r="J33" s="130">
        <f>I33+(I33*$H$48)</f>
        <v>174.48511999999999</v>
      </c>
      <c r="K33" s="121" t="s">
        <v>357</v>
      </c>
      <c r="L33" s="122">
        <f>L32*L31</f>
        <v>26.204243399999999</v>
      </c>
    </row>
    <row r="34" spans="1:12" ht="15.75" customHeight="1">
      <c r="A34" s="95" t="s">
        <v>322</v>
      </c>
      <c r="B34" s="352" t="s">
        <v>382</v>
      </c>
      <c r="C34" s="352"/>
      <c r="D34" s="352"/>
      <c r="E34" s="352"/>
      <c r="F34" s="352"/>
      <c r="G34" s="352"/>
      <c r="H34" s="97">
        <v>0.121</v>
      </c>
      <c r="I34" s="133">
        <f>ROUND(I29*H34,2)</f>
        <v>188.03</v>
      </c>
      <c r="J34" s="130">
        <f>I34+(I34*$H$48)</f>
        <v>253.46444000000002</v>
      </c>
      <c r="K34" s="112" t="s">
        <v>383</v>
      </c>
      <c r="L34" s="113">
        <f>H118</f>
        <v>0.05</v>
      </c>
    </row>
    <row r="35" spans="1:12" ht="15.75" customHeight="1">
      <c r="A35" s="351" t="s">
        <v>384</v>
      </c>
      <c r="B35" s="351"/>
      <c r="C35" s="351"/>
      <c r="D35" s="351"/>
      <c r="E35" s="351"/>
      <c r="F35" s="351"/>
      <c r="G35" s="351"/>
      <c r="H35" s="98">
        <f>SUM(H33:H34)</f>
        <v>0.20430000000000001</v>
      </c>
      <c r="I35" s="129">
        <f>SUM(I33:I34)</f>
        <v>317.47000000000003</v>
      </c>
      <c r="J35" s="134"/>
      <c r="K35" s="119" t="s">
        <v>351</v>
      </c>
      <c r="L35" s="120">
        <f>L17</f>
        <v>4517.973</v>
      </c>
    </row>
    <row r="36" spans="1:12" ht="15.75" customHeight="1">
      <c r="A36" s="369" t="s">
        <v>385</v>
      </c>
      <c r="B36" s="369"/>
      <c r="C36" s="369"/>
      <c r="D36" s="369"/>
      <c r="E36" s="369"/>
      <c r="F36" s="369"/>
      <c r="G36" s="358" t="s">
        <v>386</v>
      </c>
      <c r="H36" s="358"/>
      <c r="I36" s="135">
        <f>I29</f>
        <v>1553.96</v>
      </c>
      <c r="J36" s="136"/>
      <c r="K36" s="121" t="s">
        <v>357</v>
      </c>
      <c r="L36" s="122">
        <f>L35*L34</f>
        <v>225.89865</v>
      </c>
    </row>
    <row r="37" spans="1:12" ht="15.75" customHeight="1">
      <c r="A37" s="369"/>
      <c r="B37" s="369"/>
      <c r="C37" s="369"/>
      <c r="D37" s="369"/>
      <c r="E37" s="369"/>
      <c r="F37" s="369"/>
      <c r="G37" s="358" t="s">
        <v>387</v>
      </c>
      <c r="H37" s="358"/>
      <c r="I37" s="135">
        <f>I35</f>
        <v>317.47000000000003</v>
      </c>
      <c r="J37" s="137"/>
      <c r="K37" s="138" t="s">
        <v>388</v>
      </c>
      <c r="L37" s="139">
        <f>L19+L24+L27+L30+L33+L36</f>
        <v>840.20366119999994</v>
      </c>
    </row>
    <row r="38" spans="1:12" ht="15.75" customHeight="1">
      <c r="A38" s="369"/>
      <c r="B38" s="369"/>
      <c r="C38" s="369"/>
      <c r="D38" s="369"/>
      <c r="E38" s="369"/>
      <c r="F38" s="369"/>
      <c r="G38" s="359" t="s">
        <v>389</v>
      </c>
      <c r="H38" s="359"/>
      <c r="I38" s="140">
        <f>SUM(I36:I37)</f>
        <v>1871.43</v>
      </c>
      <c r="J38" s="136"/>
      <c r="K38" s="141"/>
      <c r="L38" s="141"/>
    </row>
    <row r="39" spans="1:12" ht="15.75" customHeight="1">
      <c r="A39" s="351" t="s">
        <v>390</v>
      </c>
      <c r="B39" s="351"/>
      <c r="C39" s="351"/>
      <c r="D39" s="351"/>
      <c r="E39" s="351"/>
      <c r="F39" s="351"/>
      <c r="G39" s="351"/>
      <c r="H39" s="96" t="s">
        <v>362</v>
      </c>
      <c r="I39" s="96" t="s">
        <v>363</v>
      </c>
      <c r="J39" s="136"/>
      <c r="K39" s="142" t="s">
        <v>391</v>
      </c>
      <c r="L39" s="143"/>
    </row>
    <row r="40" spans="1:12" ht="15.75" customHeight="1">
      <c r="A40" s="95" t="s">
        <v>319</v>
      </c>
      <c r="B40" s="352" t="s">
        <v>392</v>
      </c>
      <c r="C40" s="352"/>
      <c r="D40" s="352"/>
      <c r="E40" s="352"/>
      <c r="F40" s="352"/>
      <c r="G40" s="352"/>
      <c r="H40" s="97">
        <v>0.2</v>
      </c>
      <c r="I40" s="133">
        <f t="shared" ref="I40:I47" si="0">ROUND($I$38*H40,2)</f>
        <v>374.29</v>
      </c>
      <c r="J40" s="144" t="s">
        <v>393</v>
      </c>
      <c r="K40" s="145" t="s">
        <v>394</v>
      </c>
      <c r="L40" s="146"/>
    </row>
    <row r="41" spans="1:12" ht="15.75" customHeight="1">
      <c r="A41" s="95" t="s">
        <v>322</v>
      </c>
      <c r="B41" s="352" t="s">
        <v>395</v>
      </c>
      <c r="C41" s="352"/>
      <c r="D41" s="352"/>
      <c r="E41" s="352"/>
      <c r="F41" s="352"/>
      <c r="G41" s="352"/>
      <c r="H41" s="97">
        <v>2.5000000000000001E-2</v>
      </c>
      <c r="I41" s="133">
        <f t="shared" si="0"/>
        <v>46.79</v>
      </c>
      <c r="J41" s="130">
        <f t="shared" ref="J41:J47" si="1">$I$29*H41</f>
        <v>38.848999999999997</v>
      </c>
      <c r="K41" s="147" t="s">
        <v>394</v>
      </c>
      <c r="L41" s="148">
        <f>L8+L37</f>
        <v>3691.4777012000004</v>
      </c>
    </row>
    <row r="42" spans="1:12" ht="15.75" customHeight="1">
      <c r="A42" s="95" t="s">
        <v>326</v>
      </c>
      <c r="B42" s="352" t="s">
        <v>396</v>
      </c>
      <c r="C42" s="352"/>
      <c r="D42" s="352"/>
      <c r="E42" s="352"/>
      <c r="F42" s="352"/>
      <c r="G42" s="352"/>
      <c r="H42" s="402">
        <v>0.01</v>
      </c>
      <c r="I42" s="133">
        <f t="shared" si="0"/>
        <v>18.71</v>
      </c>
      <c r="J42" s="144" t="s">
        <v>393</v>
      </c>
      <c r="K42" s="109"/>
      <c r="L42" s="149"/>
    </row>
    <row r="43" spans="1:12" ht="15.75" customHeight="1">
      <c r="A43" s="95" t="s">
        <v>330</v>
      </c>
      <c r="B43" s="352" t="s">
        <v>397</v>
      </c>
      <c r="C43" s="352"/>
      <c r="D43" s="352"/>
      <c r="E43" s="352"/>
      <c r="F43" s="352"/>
      <c r="G43" s="352"/>
      <c r="H43" s="97">
        <v>1.4999999999999999E-2</v>
      </c>
      <c r="I43" s="133">
        <f t="shared" si="0"/>
        <v>28.07</v>
      </c>
      <c r="J43" s="130">
        <f t="shared" si="1"/>
        <v>23.3094</v>
      </c>
      <c r="K43" s="109"/>
      <c r="L43" s="149"/>
    </row>
    <row r="44" spans="1:12" ht="15.75" customHeight="1">
      <c r="A44" s="95" t="s">
        <v>372</v>
      </c>
      <c r="B44" s="352" t="s">
        <v>398</v>
      </c>
      <c r="C44" s="352"/>
      <c r="D44" s="352"/>
      <c r="E44" s="352"/>
      <c r="F44" s="352"/>
      <c r="G44" s="352"/>
      <c r="H44" s="97">
        <v>0.01</v>
      </c>
      <c r="I44" s="133">
        <f t="shared" si="0"/>
        <v>18.71</v>
      </c>
      <c r="J44" s="130">
        <f t="shared" si="1"/>
        <v>15.5396</v>
      </c>
      <c r="K44" s="109"/>
      <c r="L44" s="149"/>
    </row>
    <row r="45" spans="1:12" ht="15.75" customHeight="1">
      <c r="A45" s="95" t="s">
        <v>374</v>
      </c>
      <c r="B45" s="352" t="s">
        <v>399</v>
      </c>
      <c r="C45" s="352"/>
      <c r="D45" s="352"/>
      <c r="E45" s="352"/>
      <c r="F45" s="352"/>
      <c r="G45" s="352"/>
      <c r="H45" s="97">
        <v>6.0000000000000001E-3</v>
      </c>
      <c r="I45" s="133">
        <f t="shared" si="0"/>
        <v>11.23</v>
      </c>
      <c r="J45" s="130">
        <f t="shared" si="1"/>
        <v>9.32376</v>
      </c>
      <c r="K45" s="109"/>
      <c r="L45" s="149"/>
    </row>
    <row r="46" spans="1:12" ht="15.75" customHeight="1">
      <c r="A46" s="95" t="s">
        <v>400</v>
      </c>
      <c r="B46" s="352" t="s">
        <v>401</v>
      </c>
      <c r="C46" s="352"/>
      <c r="D46" s="352"/>
      <c r="E46" s="352"/>
      <c r="F46" s="352"/>
      <c r="G46" s="352"/>
      <c r="H46" s="97">
        <v>2E-3</v>
      </c>
      <c r="I46" s="133">
        <f t="shared" si="0"/>
        <v>3.74</v>
      </c>
      <c r="J46" s="130">
        <f t="shared" si="1"/>
        <v>3.10792</v>
      </c>
      <c r="K46" s="109"/>
      <c r="L46" s="149"/>
    </row>
    <row r="47" spans="1:12" ht="15.75" customHeight="1">
      <c r="A47" s="95" t="s">
        <v>402</v>
      </c>
      <c r="B47" s="352" t="s">
        <v>403</v>
      </c>
      <c r="C47" s="352"/>
      <c r="D47" s="352"/>
      <c r="E47" s="352"/>
      <c r="F47" s="352"/>
      <c r="G47" s="352"/>
      <c r="H47" s="97">
        <v>0.08</v>
      </c>
      <c r="I47" s="133">
        <f t="shared" si="0"/>
        <v>149.71</v>
      </c>
      <c r="J47" s="130">
        <f t="shared" si="1"/>
        <v>124.3168</v>
      </c>
      <c r="K47" s="360" t="s">
        <v>404</v>
      </c>
      <c r="L47" s="360"/>
    </row>
    <row r="48" spans="1:12" ht="15.75" customHeight="1">
      <c r="A48" s="351" t="s">
        <v>405</v>
      </c>
      <c r="B48" s="351"/>
      <c r="C48" s="351"/>
      <c r="D48" s="351"/>
      <c r="E48" s="351"/>
      <c r="F48" s="351"/>
      <c r="G48" s="351"/>
      <c r="H48" s="98">
        <f>SUM(H40:H47)</f>
        <v>0.34800000000000003</v>
      </c>
      <c r="I48" s="129">
        <f>SUM(I40:I47)</f>
        <v>651.25</v>
      </c>
      <c r="J48" s="137"/>
      <c r="K48" s="361" t="s">
        <v>406</v>
      </c>
      <c r="L48" s="361"/>
    </row>
    <row r="49" spans="1:12" ht="15.75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137"/>
      <c r="K49" s="150" t="s">
        <v>407</v>
      </c>
      <c r="L49" s="151">
        <v>1</v>
      </c>
    </row>
    <row r="50" spans="1:12" ht="15.75" customHeight="1">
      <c r="A50" s="351" t="s">
        <v>408</v>
      </c>
      <c r="B50" s="351"/>
      <c r="C50" s="351"/>
      <c r="D50" s="351"/>
      <c r="E50" s="351"/>
      <c r="F50" s="351"/>
      <c r="G50" s="351"/>
      <c r="H50" s="98"/>
      <c r="I50" s="96" t="s">
        <v>363</v>
      </c>
      <c r="J50" s="137"/>
      <c r="K50" s="367" t="s">
        <v>409</v>
      </c>
      <c r="L50" s="368">
        <f>L41</f>
        <v>3691.4777012000004</v>
      </c>
    </row>
    <row r="51" spans="1:12" ht="15.75" customHeight="1">
      <c r="A51" s="95" t="s">
        <v>319</v>
      </c>
      <c r="B51" s="357" t="s">
        <v>410</v>
      </c>
      <c r="C51" s="357"/>
      <c r="D51" s="357"/>
      <c r="E51" s="357"/>
      <c r="F51" s="357"/>
      <c r="G51" s="357"/>
      <c r="H51" s="99" t="s">
        <v>303</v>
      </c>
      <c r="I51" s="128">
        <v>0</v>
      </c>
      <c r="J51" s="130">
        <f t="shared" ref="J51:J54" si="2">I51</f>
        <v>0</v>
      </c>
      <c r="K51" s="367"/>
      <c r="L51" s="368"/>
    </row>
    <row r="52" spans="1:12" ht="15.75" customHeight="1">
      <c r="A52" s="95" t="s">
        <v>322</v>
      </c>
      <c r="B52" s="357" t="s">
        <v>411</v>
      </c>
      <c r="C52" s="357"/>
      <c r="D52" s="357"/>
      <c r="E52" s="357"/>
      <c r="F52" s="357"/>
      <c r="G52" s="357"/>
      <c r="H52" s="63" t="s">
        <v>303</v>
      </c>
      <c r="I52" s="128">
        <v>473.82</v>
      </c>
      <c r="J52" s="130">
        <f t="shared" si="2"/>
        <v>473.82</v>
      </c>
      <c r="K52" s="367"/>
      <c r="L52" s="368"/>
    </row>
    <row r="53" spans="1:12" ht="15.75" customHeight="1">
      <c r="A53" s="95" t="s">
        <v>326</v>
      </c>
      <c r="B53" s="357" t="s">
        <v>412</v>
      </c>
      <c r="C53" s="357"/>
      <c r="D53" s="357"/>
      <c r="E53" s="357"/>
      <c r="F53" s="357"/>
      <c r="G53" s="357"/>
      <c r="H53" s="63" t="s">
        <v>303</v>
      </c>
      <c r="I53" s="128">
        <f>(52.15+78.22)*0.4</f>
        <v>52.148000000000003</v>
      </c>
      <c r="J53" s="130">
        <f t="shared" si="2"/>
        <v>52.148000000000003</v>
      </c>
      <c r="K53" s="153" t="s">
        <v>413</v>
      </c>
      <c r="L53" s="152">
        <f>I139</f>
        <v>4517.973</v>
      </c>
    </row>
    <row r="54" spans="1:12" ht="15.75" customHeight="1">
      <c r="A54" s="95" t="s">
        <v>330</v>
      </c>
      <c r="B54" s="357" t="s">
        <v>414</v>
      </c>
      <c r="C54" s="357"/>
      <c r="D54" s="357"/>
      <c r="E54" s="357"/>
      <c r="F54" s="357"/>
      <c r="G54" s="357"/>
      <c r="H54" s="63" t="s">
        <v>303</v>
      </c>
      <c r="I54" s="128">
        <f>ROUND((I23*26)*0.002/12,2)</f>
        <v>6.73</v>
      </c>
      <c r="J54" s="130">
        <f t="shared" si="2"/>
        <v>6.73</v>
      </c>
      <c r="K54" s="154" t="s">
        <v>415</v>
      </c>
      <c r="L54" s="155">
        <f>L41</f>
        <v>3691.4777012000004</v>
      </c>
    </row>
    <row r="55" spans="1:12" ht="15.75" customHeight="1">
      <c r="A55" s="351" t="s">
        <v>416</v>
      </c>
      <c r="B55" s="351"/>
      <c r="C55" s="351"/>
      <c r="D55" s="351"/>
      <c r="E55" s="351"/>
      <c r="F55" s="351"/>
      <c r="G55" s="351"/>
      <c r="H55" s="351"/>
      <c r="I55" s="129">
        <f>SUM(I51:I54)</f>
        <v>532.69799999999998</v>
      </c>
      <c r="J55" s="134"/>
      <c r="K55" s="156" t="s">
        <v>417</v>
      </c>
      <c r="L55" s="157">
        <f>L53-L54</f>
        <v>826.49529879999955</v>
      </c>
    </row>
    <row r="56" spans="1:12" ht="15.75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134"/>
      <c r="K56" s="158" t="s">
        <v>418</v>
      </c>
      <c r="L56" s="159">
        <f>SUM(I68:I71,I96,I104,I113)</f>
        <v>906.82500000000016</v>
      </c>
    </row>
    <row r="57" spans="1:12" ht="15.75" customHeight="1">
      <c r="A57" s="351" t="s">
        <v>419</v>
      </c>
      <c r="B57" s="351"/>
      <c r="C57" s="351"/>
      <c r="D57" s="351"/>
      <c r="E57" s="351"/>
      <c r="F57" s="351"/>
      <c r="G57" s="351"/>
      <c r="H57" s="351"/>
      <c r="I57" s="351"/>
      <c r="J57" s="134"/>
      <c r="K57" s="158" t="s">
        <v>420</v>
      </c>
      <c r="L57" s="160">
        <f>L55-L56</f>
        <v>-80.329701200000613</v>
      </c>
    </row>
    <row r="58" spans="1:12" ht="15.75" customHeight="1">
      <c r="A58" s="351" t="s">
        <v>421</v>
      </c>
      <c r="B58" s="351"/>
      <c r="C58" s="351"/>
      <c r="D58" s="351"/>
      <c r="E58" s="351"/>
      <c r="F58" s="351"/>
      <c r="G58" s="351"/>
      <c r="H58" s="351"/>
      <c r="I58" s="96" t="s">
        <v>363</v>
      </c>
      <c r="J58" s="134"/>
      <c r="K58" s="161" t="s">
        <v>422</v>
      </c>
      <c r="L58" s="162">
        <f>ROUND(L57*L49,2)</f>
        <v>-80.33</v>
      </c>
    </row>
    <row r="59" spans="1:12" ht="15.75" customHeight="1">
      <c r="A59" s="95" t="s">
        <v>215</v>
      </c>
      <c r="B59" s="352" t="s">
        <v>423</v>
      </c>
      <c r="C59" s="352"/>
      <c r="D59" s="352"/>
      <c r="E59" s="352"/>
      <c r="F59" s="352"/>
      <c r="G59" s="352"/>
      <c r="H59" s="352"/>
      <c r="I59" s="133">
        <f>I35</f>
        <v>317.47000000000003</v>
      </c>
      <c r="J59" s="134"/>
      <c r="K59" s="161" t="s">
        <v>424</v>
      </c>
      <c r="L59" s="162">
        <f>ROUND((L57*12)*L49,2)</f>
        <v>-963.96</v>
      </c>
    </row>
    <row r="60" spans="1:12" ht="15.75" customHeight="1">
      <c r="A60" s="95" t="s">
        <v>245</v>
      </c>
      <c r="B60" s="352" t="s">
        <v>425</v>
      </c>
      <c r="C60" s="352"/>
      <c r="D60" s="352"/>
      <c r="E60" s="352"/>
      <c r="F60" s="352"/>
      <c r="G60" s="352"/>
      <c r="H60" s="352"/>
      <c r="I60" s="133">
        <f>I48</f>
        <v>651.25</v>
      </c>
      <c r="J60" s="134"/>
      <c r="K60" s="372" t="s">
        <v>426</v>
      </c>
      <c r="L60" s="372"/>
    </row>
    <row r="61" spans="1:12" ht="15.75" customHeight="1">
      <c r="A61" s="95" t="s">
        <v>257</v>
      </c>
      <c r="B61" s="352" t="s">
        <v>427</v>
      </c>
      <c r="C61" s="352"/>
      <c r="D61" s="352"/>
      <c r="E61" s="352"/>
      <c r="F61" s="352"/>
      <c r="G61" s="352"/>
      <c r="H61" s="352"/>
      <c r="I61" s="133">
        <f>I55</f>
        <v>532.69799999999998</v>
      </c>
      <c r="J61" s="134"/>
      <c r="K61" s="372"/>
      <c r="L61" s="372"/>
    </row>
    <row r="62" spans="1:12" ht="15.75" customHeight="1">
      <c r="A62" s="351" t="s">
        <v>428</v>
      </c>
      <c r="B62" s="351"/>
      <c r="C62" s="351"/>
      <c r="D62" s="351"/>
      <c r="E62" s="351"/>
      <c r="F62" s="351"/>
      <c r="G62" s="351"/>
      <c r="H62" s="351"/>
      <c r="I62" s="129">
        <f>SUM(I59:I61)</f>
        <v>1501.4180000000001</v>
      </c>
      <c r="J62" s="134"/>
      <c r="K62" s="372"/>
      <c r="L62" s="372"/>
    </row>
    <row r="63" spans="1:12" ht="15.75" customHeight="1">
      <c r="A63" s="370" t="s">
        <v>429</v>
      </c>
      <c r="B63" s="370"/>
      <c r="C63" s="370"/>
      <c r="D63" s="370"/>
      <c r="E63" s="370"/>
      <c r="F63" s="370"/>
      <c r="G63" s="358" t="s">
        <v>386</v>
      </c>
      <c r="H63" s="358"/>
      <c r="I63" s="135">
        <f>I29</f>
        <v>1553.96</v>
      </c>
      <c r="J63" s="134"/>
      <c r="K63" s="372"/>
      <c r="L63" s="372"/>
    </row>
    <row r="64" spans="1:12" ht="15.75" customHeight="1">
      <c r="A64" s="370"/>
      <c r="B64" s="370"/>
      <c r="C64" s="370"/>
      <c r="D64" s="370"/>
      <c r="E64" s="370"/>
      <c r="F64" s="370"/>
      <c r="G64" s="358" t="s">
        <v>430</v>
      </c>
      <c r="H64" s="358"/>
      <c r="I64" s="135">
        <f>I62</f>
        <v>1501.4180000000001</v>
      </c>
      <c r="J64" s="134"/>
      <c r="K64" s="372"/>
      <c r="L64" s="372"/>
    </row>
    <row r="65" spans="1:12" ht="15.75" customHeight="1">
      <c r="A65" s="370"/>
      <c r="B65" s="370"/>
      <c r="C65" s="370"/>
      <c r="D65" s="370"/>
      <c r="E65" s="370"/>
      <c r="F65" s="370"/>
      <c r="G65" s="359" t="s">
        <v>389</v>
      </c>
      <c r="H65" s="359"/>
      <c r="I65" s="140">
        <f>SUM(I63:I64)</f>
        <v>3055.3780000000002</v>
      </c>
      <c r="J65" s="134"/>
      <c r="K65" s="372"/>
      <c r="L65" s="372"/>
    </row>
    <row r="66" spans="1:12" ht="27.75" customHeight="1">
      <c r="A66" s="351" t="s">
        <v>431</v>
      </c>
      <c r="B66" s="351"/>
      <c r="C66" s="351"/>
      <c r="D66" s="351"/>
      <c r="E66" s="351"/>
      <c r="F66" s="351"/>
      <c r="G66" s="351"/>
      <c r="H66" s="351"/>
      <c r="I66" s="351"/>
      <c r="J66" s="134"/>
      <c r="K66" s="372"/>
      <c r="L66" s="372"/>
    </row>
    <row r="67" spans="1:12" ht="15.75" customHeight="1">
      <c r="A67" s="95">
        <v>3</v>
      </c>
      <c r="B67" s="351" t="s">
        <v>432</v>
      </c>
      <c r="C67" s="351"/>
      <c r="D67" s="351"/>
      <c r="E67" s="351"/>
      <c r="F67" s="351"/>
      <c r="G67" s="351"/>
      <c r="H67" s="96" t="s">
        <v>362</v>
      </c>
      <c r="I67" s="96" t="s">
        <v>363</v>
      </c>
      <c r="J67" s="134"/>
      <c r="K67" s="372"/>
      <c r="L67" s="372"/>
    </row>
    <row r="68" spans="1:12" ht="15.75" customHeight="1">
      <c r="A68" s="95" t="s">
        <v>319</v>
      </c>
      <c r="B68" s="352" t="s">
        <v>433</v>
      </c>
      <c r="C68" s="352"/>
      <c r="D68" s="352"/>
      <c r="E68" s="352"/>
      <c r="F68" s="352"/>
      <c r="G68" s="352"/>
      <c r="H68" s="97">
        <f>ROUND(((1/12)*5%),4)</f>
        <v>4.1999999999999997E-3</v>
      </c>
      <c r="I68" s="133">
        <f>ROUND(H68*$I$65,2)</f>
        <v>12.83</v>
      </c>
      <c r="J68" s="134"/>
      <c r="K68" s="372"/>
      <c r="L68" s="372"/>
    </row>
    <row r="69" spans="1:12" ht="15.75" customHeight="1">
      <c r="A69" s="95" t="s">
        <v>322</v>
      </c>
      <c r="B69" s="352" t="s">
        <v>434</v>
      </c>
      <c r="C69" s="352"/>
      <c r="D69" s="352"/>
      <c r="E69" s="352"/>
      <c r="F69" s="352"/>
      <c r="G69" s="352"/>
      <c r="H69" s="97">
        <f>TRUNC(H68*H47,4)</f>
        <v>2.9999999999999997E-4</v>
      </c>
      <c r="I69" s="133">
        <f>ROUND(H69*$I$65,2)</f>
        <v>0.92</v>
      </c>
      <c r="J69" s="134"/>
      <c r="K69" s="372"/>
      <c r="L69" s="372"/>
    </row>
    <row r="70" spans="1:12" ht="15.75" customHeight="1">
      <c r="A70" s="95" t="s">
        <v>326</v>
      </c>
      <c r="B70" s="352" t="s">
        <v>435</v>
      </c>
      <c r="C70" s="352"/>
      <c r="D70" s="352"/>
      <c r="E70" s="352"/>
      <c r="F70" s="352"/>
      <c r="G70" s="352"/>
      <c r="H70" s="97">
        <f>ROUND(((7/30)/12)*95%,4)</f>
        <v>1.8499999999999999E-2</v>
      </c>
      <c r="I70" s="133">
        <f>ROUND(H70*$I$65,2)</f>
        <v>56.52</v>
      </c>
      <c r="J70" s="134"/>
      <c r="K70" s="109"/>
      <c r="L70" s="109"/>
    </row>
    <row r="71" spans="1:12" ht="15.75" customHeight="1">
      <c r="A71" s="95" t="s">
        <v>330</v>
      </c>
      <c r="B71" s="363" t="s">
        <v>436</v>
      </c>
      <c r="C71" s="363"/>
      <c r="D71" s="363"/>
      <c r="E71" s="363"/>
      <c r="F71" s="363"/>
      <c r="G71" s="363"/>
      <c r="H71" s="97">
        <f>ROUND(H70*H48,4)</f>
        <v>6.4000000000000003E-3</v>
      </c>
      <c r="I71" s="133">
        <f>ROUND(H71*$I$65,2)</f>
        <v>19.55</v>
      </c>
      <c r="J71" s="134"/>
      <c r="K71" s="109"/>
      <c r="L71" s="109"/>
    </row>
    <row r="72" spans="1:12" ht="15.75" customHeight="1">
      <c r="A72" s="95" t="s">
        <v>372</v>
      </c>
      <c r="B72" s="352" t="s">
        <v>437</v>
      </c>
      <c r="C72" s="352"/>
      <c r="D72" s="352"/>
      <c r="E72" s="352"/>
      <c r="F72" s="352"/>
      <c r="G72" s="352"/>
      <c r="H72" s="97">
        <v>0.04</v>
      </c>
      <c r="I72" s="133">
        <f>ROUND(H72*$I$65,2)</f>
        <v>122.22</v>
      </c>
      <c r="J72" s="130">
        <f>I72</f>
        <v>122.22</v>
      </c>
      <c r="K72" s="109"/>
      <c r="L72" s="109"/>
    </row>
    <row r="73" spans="1:12" ht="15.75" customHeight="1">
      <c r="A73" s="351" t="s">
        <v>438</v>
      </c>
      <c r="B73" s="351"/>
      <c r="C73" s="351"/>
      <c r="D73" s="351"/>
      <c r="E73" s="351"/>
      <c r="F73" s="351"/>
      <c r="G73" s="351"/>
      <c r="H73" s="98">
        <f>SUM(H68:H72)</f>
        <v>6.9400000000000003E-2</v>
      </c>
      <c r="I73" s="129">
        <f>SUM(I68:I72)</f>
        <v>212.04000000000002</v>
      </c>
      <c r="J73" s="134"/>
      <c r="K73" s="179"/>
      <c r="L73" s="109"/>
    </row>
    <row r="74" spans="1:12" ht="15.75" customHeight="1">
      <c r="A74" s="371" t="s">
        <v>439</v>
      </c>
      <c r="B74" s="371"/>
      <c r="C74" s="371"/>
      <c r="D74" s="371"/>
      <c r="E74" s="371"/>
      <c r="F74" s="371"/>
      <c r="G74" s="358" t="s">
        <v>386</v>
      </c>
      <c r="H74" s="358"/>
      <c r="I74" s="135">
        <f>I29</f>
        <v>1553.96</v>
      </c>
      <c r="J74" s="134"/>
      <c r="K74" s="179"/>
      <c r="L74" s="109"/>
    </row>
    <row r="75" spans="1:12" ht="15.75" customHeight="1">
      <c r="A75" s="371"/>
      <c r="B75" s="371"/>
      <c r="C75" s="371"/>
      <c r="D75" s="371"/>
      <c r="E75" s="371"/>
      <c r="F75" s="371"/>
      <c r="G75" s="358" t="s">
        <v>430</v>
      </c>
      <c r="H75" s="358"/>
      <c r="I75" s="135">
        <f>I62</f>
        <v>1501.4180000000001</v>
      </c>
      <c r="J75" s="134"/>
      <c r="K75" s="179"/>
      <c r="L75" s="109"/>
    </row>
    <row r="76" spans="1:12" ht="15.75" customHeight="1">
      <c r="A76" s="371"/>
      <c r="B76" s="371"/>
      <c r="C76" s="371"/>
      <c r="D76" s="371"/>
      <c r="E76" s="371"/>
      <c r="F76" s="371"/>
      <c r="G76" s="358" t="s">
        <v>440</v>
      </c>
      <c r="H76" s="358"/>
      <c r="I76" s="135">
        <f>I73</f>
        <v>212.04000000000002</v>
      </c>
      <c r="J76" s="134"/>
      <c r="K76" s="179"/>
      <c r="L76" s="109"/>
    </row>
    <row r="77" spans="1:12" ht="15.75" customHeight="1">
      <c r="A77" s="371"/>
      <c r="B77" s="371"/>
      <c r="C77" s="371"/>
      <c r="D77" s="371"/>
      <c r="E77" s="371"/>
      <c r="F77" s="371"/>
      <c r="G77" s="359" t="s">
        <v>389</v>
      </c>
      <c r="H77" s="359"/>
      <c r="I77" s="140">
        <f>SUM(I74:I76)</f>
        <v>3267.4180000000001</v>
      </c>
      <c r="J77" s="134"/>
      <c r="K77" s="179"/>
      <c r="L77" s="109"/>
    </row>
    <row r="78" spans="1:12" ht="15.75" customHeight="1">
      <c r="A78" s="351" t="s">
        <v>441</v>
      </c>
      <c r="B78" s="351"/>
      <c r="C78" s="351"/>
      <c r="D78" s="351"/>
      <c r="E78" s="351"/>
      <c r="F78" s="351"/>
      <c r="G78" s="351"/>
      <c r="H78" s="351"/>
      <c r="I78" s="351"/>
      <c r="J78" s="131"/>
      <c r="K78" s="179"/>
      <c r="L78" s="109"/>
    </row>
    <row r="79" spans="1:12" ht="15.75" customHeight="1">
      <c r="A79" s="351" t="s">
        <v>442</v>
      </c>
      <c r="B79" s="351"/>
      <c r="C79" s="351"/>
      <c r="D79" s="351"/>
      <c r="E79" s="351"/>
      <c r="F79" s="351"/>
      <c r="G79" s="351"/>
      <c r="H79" s="96" t="s">
        <v>362</v>
      </c>
      <c r="I79" s="96" t="s">
        <v>363</v>
      </c>
      <c r="J79" s="134"/>
      <c r="K79" s="179"/>
      <c r="L79" s="180"/>
    </row>
    <row r="80" spans="1:12" ht="15.75" customHeight="1">
      <c r="A80" s="95" t="s">
        <v>319</v>
      </c>
      <c r="B80" s="352" t="s">
        <v>443</v>
      </c>
      <c r="C80" s="352"/>
      <c r="D80" s="352"/>
      <c r="E80" s="352"/>
      <c r="F80" s="352"/>
      <c r="G80" s="352"/>
      <c r="H80" s="97">
        <f>ROUND(((1+1/3)/12)/12,4)</f>
        <v>9.2999999999999992E-3</v>
      </c>
      <c r="I80" s="133">
        <f t="shared" ref="I80:I85" si="3">ROUND(H80*$I$77,2)</f>
        <v>30.39</v>
      </c>
      <c r="J80" s="134"/>
      <c r="K80" s="179"/>
      <c r="L80" s="109"/>
    </row>
    <row r="81" spans="1:12" ht="15.75" customHeight="1">
      <c r="A81" s="95" t="s">
        <v>322</v>
      </c>
      <c r="B81" s="352" t="s">
        <v>444</v>
      </c>
      <c r="C81" s="352"/>
      <c r="D81" s="352"/>
      <c r="E81" s="352"/>
      <c r="F81" s="352"/>
      <c r="G81" s="352"/>
      <c r="H81" s="97">
        <f>ROUND(2/30/12,4)</f>
        <v>5.5999999999999999E-3</v>
      </c>
      <c r="I81" s="133">
        <f t="shared" si="3"/>
        <v>18.3</v>
      </c>
      <c r="J81" s="134"/>
      <c r="K81" s="109"/>
      <c r="L81" s="109"/>
    </row>
    <row r="82" spans="1:12" ht="15.75" customHeight="1">
      <c r="A82" s="95" t="s">
        <v>326</v>
      </c>
      <c r="B82" s="352" t="s">
        <v>445</v>
      </c>
      <c r="C82" s="352"/>
      <c r="D82" s="352"/>
      <c r="E82" s="352"/>
      <c r="F82" s="352"/>
      <c r="G82" s="352"/>
      <c r="H82" s="97">
        <f>ROUND(((5/30)/12)*2%,4)</f>
        <v>2.9999999999999997E-4</v>
      </c>
      <c r="I82" s="133">
        <f t="shared" si="3"/>
        <v>0.98</v>
      </c>
      <c r="J82" s="134"/>
      <c r="K82" s="109"/>
      <c r="L82" s="109"/>
    </row>
    <row r="83" spans="1:12" ht="15.75" customHeight="1">
      <c r="A83" s="95" t="s">
        <v>330</v>
      </c>
      <c r="B83" s="352" t="s">
        <v>446</v>
      </c>
      <c r="C83" s="352"/>
      <c r="D83" s="352"/>
      <c r="E83" s="352"/>
      <c r="F83" s="352"/>
      <c r="G83" s="352"/>
      <c r="H83" s="97">
        <f>ROUND(((15/30)/12)*8%,4)</f>
        <v>3.3E-3</v>
      </c>
      <c r="I83" s="133">
        <f t="shared" si="3"/>
        <v>10.78</v>
      </c>
      <c r="J83" s="134"/>
      <c r="K83" s="109"/>
      <c r="L83" s="109"/>
    </row>
    <row r="84" spans="1:12" ht="15.75" customHeight="1">
      <c r="A84" s="95" t="s">
        <v>372</v>
      </c>
      <c r="B84" s="352" t="s">
        <v>447</v>
      </c>
      <c r="C84" s="352"/>
      <c r="D84" s="352"/>
      <c r="E84" s="352"/>
      <c r="F84" s="352"/>
      <c r="G84" s="352"/>
      <c r="H84" s="97">
        <f>ROUND(((1+1/3)/12*4/12)*2%,4)</f>
        <v>6.9999999999999999E-4</v>
      </c>
      <c r="I84" s="133">
        <f t="shared" si="3"/>
        <v>2.29</v>
      </c>
      <c r="J84" s="134"/>
      <c r="K84" s="109"/>
      <c r="L84" s="109"/>
    </row>
    <row r="85" spans="1:12" ht="15.75" customHeight="1">
      <c r="A85" s="95" t="s">
        <v>374</v>
      </c>
      <c r="B85" s="352" t="s">
        <v>448</v>
      </c>
      <c r="C85" s="352"/>
      <c r="D85" s="352"/>
      <c r="E85" s="352"/>
      <c r="F85" s="352"/>
      <c r="G85" s="352"/>
      <c r="H85" s="97">
        <v>0</v>
      </c>
      <c r="I85" s="133">
        <f t="shared" si="3"/>
        <v>0</v>
      </c>
      <c r="J85" s="134"/>
      <c r="K85" s="109"/>
      <c r="L85" s="109"/>
    </row>
    <row r="86" spans="1:12" ht="15.75" customHeight="1">
      <c r="A86" s="351" t="s">
        <v>449</v>
      </c>
      <c r="B86" s="351"/>
      <c r="C86" s="351"/>
      <c r="D86" s="351"/>
      <c r="E86" s="351"/>
      <c r="F86" s="351"/>
      <c r="G86" s="351"/>
      <c r="H86" s="98">
        <f>SUM(H80:H85)</f>
        <v>1.9199999999999998E-2</v>
      </c>
      <c r="I86" s="129">
        <f>SUM(I80:I85)</f>
        <v>62.739999999999995</v>
      </c>
      <c r="J86" s="134"/>
      <c r="K86" s="109"/>
      <c r="L86" s="181"/>
    </row>
    <row r="87" spans="1:12" ht="15.75" customHeight="1">
      <c r="A87" s="362"/>
      <c r="B87" s="362"/>
      <c r="C87" s="362"/>
      <c r="D87" s="362"/>
      <c r="E87" s="362"/>
      <c r="F87" s="362"/>
      <c r="G87" s="362"/>
      <c r="H87" s="362"/>
      <c r="I87" s="362"/>
      <c r="J87" s="134"/>
      <c r="K87" s="182"/>
      <c r="L87" s="109"/>
    </row>
    <row r="88" spans="1:12" ht="15.75" customHeight="1">
      <c r="A88" s="351" t="s">
        <v>450</v>
      </c>
      <c r="B88" s="351"/>
      <c r="C88" s="351"/>
      <c r="D88" s="351"/>
      <c r="E88" s="351"/>
      <c r="F88" s="351"/>
      <c r="G88" s="351"/>
      <c r="H88" s="96" t="s">
        <v>362</v>
      </c>
      <c r="I88" s="96" t="s">
        <v>363</v>
      </c>
      <c r="J88" s="134"/>
      <c r="K88" s="109"/>
      <c r="L88" s="109"/>
    </row>
    <row r="89" spans="1:12" ht="15.75" customHeight="1">
      <c r="A89" s="95" t="s">
        <v>319</v>
      </c>
      <c r="B89" s="352" t="s">
        <v>451</v>
      </c>
      <c r="C89" s="352"/>
      <c r="D89" s="352"/>
      <c r="E89" s="352"/>
      <c r="F89" s="352"/>
      <c r="G89" s="352"/>
      <c r="H89" s="97">
        <v>0</v>
      </c>
      <c r="I89" s="133">
        <f>I29*H89</f>
        <v>0</v>
      </c>
      <c r="J89" s="134"/>
      <c r="K89" s="109"/>
      <c r="L89" s="109"/>
    </row>
    <row r="90" spans="1:12" ht="15.75" customHeight="1">
      <c r="A90" s="351" t="s">
        <v>452</v>
      </c>
      <c r="B90" s="351"/>
      <c r="C90" s="351"/>
      <c r="D90" s="351"/>
      <c r="E90" s="351"/>
      <c r="F90" s="351"/>
      <c r="G90" s="351"/>
      <c r="H90" s="98">
        <f>H89</f>
        <v>0</v>
      </c>
      <c r="I90" s="129">
        <f>I89</f>
        <v>0</v>
      </c>
      <c r="J90" s="134"/>
      <c r="K90" s="183"/>
      <c r="L90" s="109"/>
    </row>
    <row r="91" spans="1:12" ht="15.75" customHeight="1">
      <c r="A91" s="362"/>
      <c r="B91" s="362"/>
      <c r="C91" s="362"/>
      <c r="D91" s="362"/>
      <c r="E91" s="362"/>
      <c r="F91" s="362"/>
      <c r="G91" s="362"/>
      <c r="H91" s="362"/>
      <c r="I91" s="362"/>
      <c r="J91" s="134"/>
      <c r="K91" s="109"/>
      <c r="L91" s="109"/>
    </row>
    <row r="92" spans="1:12" ht="15.75" customHeight="1">
      <c r="A92" s="351" t="s">
        <v>453</v>
      </c>
      <c r="B92" s="351"/>
      <c r="C92" s="351"/>
      <c r="D92" s="351"/>
      <c r="E92" s="351"/>
      <c r="F92" s="351"/>
      <c r="G92" s="351"/>
      <c r="H92" s="351"/>
      <c r="I92" s="351"/>
      <c r="J92" s="134"/>
      <c r="K92" s="109"/>
      <c r="L92" s="109"/>
    </row>
    <row r="93" spans="1:12" ht="15.75" customHeight="1">
      <c r="A93" s="351" t="s">
        <v>454</v>
      </c>
      <c r="B93" s="351"/>
      <c r="C93" s="351"/>
      <c r="D93" s="351"/>
      <c r="E93" s="351"/>
      <c r="F93" s="351"/>
      <c r="G93" s="351"/>
      <c r="H93" s="351"/>
      <c r="I93" s="96" t="s">
        <v>363</v>
      </c>
      <c r="J93" s="134"/>
      <c r="K93" s="109"/>
      <c r="L93" s="109"/>
    </row>
    <row r="94" spans="1:12" ht="15.75" customHeight="1">
      <c r="A94" s="95" t="s">
        <v>455</v>
      </c>
      <c r="B94" s="352" t="s">
        <v>456</v>
      </c>
      <c r="C94" s="352"/>
      <c r="D94" s="352"/>
      <c r="E94" s="352"/>
      <c r="F94" s="352"/>
      <c r="G94" s="352"/>
      <c r="H94" s="352"/>
      <c r="I94" s="133">
        <f>I86</f>
        <v>62.739999999999995</v>
      </c>
      <c r="J94" s="134"/>
      <c r="K94" s="109"/>
      <c r="L94" s="109"/>
    </row>
    <row r="95" spans="1:12" ht="15.75" customHeight="1">
      <c r="A95" s="95" t="s">
        <v>457</v>
      </c>
      <c r="B95" s="352" t="s">
        <v>458</v>
      </c>
      <c r="C95" s="352"/>
      <c r="D95" s="352"/>
      <c r="E95" s="352"/>
      <c r="F95" s="352"/>
      <c r="G95" s="352"/>
      <c r="H95" s="352"/>
      <c r="I95" s="133">
        <f>I90</f>
        <v>0</v>
      </c>
      <c r="J95" s="134"/>
      <c r="K95" s="109"/>
      <c r="L95" s="109"/>
    </row>
    <row r="96" spans="1:12" ht="15.75" customHeight="1">
      <c r="A96" s="351" t="s">
        <v>459</v>
      </c>
      <c r="B96" s="351"/>
      <c r="C96" s="351"/>
      <c r="D96" s="351"/>
      <c r="E96" s="351"/>
      <c r="F96" s="351"/>
      <c r="G96" s="351"/>
      <c r="H96" s="351"/>
      <c r="I96" s="129">
        <f>SUM(I94:I95)</f>
        <v>62.739999999999995</v>
      </c>
      <c r="J96" s="134"/>
      <c r="K96" s="109"/>
      <c r="L96" s="109"/>
    </row>
    <row r="97" spans="1:12" ht="15.75" customHeight="1">
      <c r="A97" s="362"/>
      <c r="B97" s="362"/>
      <c r="C97" s="362"/>
      <c r="D97" s="362"/>
      <c r="E97" s="362"/>
      <c r="F97" s="362"/>
      <c r="G97" s="362"/>
      <c r="H97" s="362"/>
      <c r="I97" s="362"/>
      <c r="J97" s="134"/>
      <c r="K97" s="109"/>
      <c r="L97" s="109"/>
    </row>
    <row r="98" spans="1:12" ht="15.75" customHeight="1">
      <c r="A98" s="351" t="s">
        <v>460</v>
      </c>
      <c r="B98" s="351"/>
      <c r="C98" s="351"/>
      <c r="D98" s="351"/>
      <c r="E98" s="351"/>
      <c r="F98" s="351"/>
      <c r="G98" s="351"/>
      <c r="H98" s="351"/>
      <c r="I98" s="351"/>
      <c r="J98" s="134"/>
      <c r="K98" s="109"/>
      <c r="L98" s="109"/>
    </row>
    <row r="99" spans="1:12" ht="15.75" customHeight="1">
      <c r="A99" s="96">
        <v>5</v>
      </c>
      <c r="B99" s="351" t="s">
        <v>461</v>
      </c>
      <c r="C99" s="351"/>
      <c r="D99" s="351"/>
      <c r="E99" s="351"/>
      <c r="F99" s="351"/>
      <c r="G99" s="351"/>
      <c r="H99" s="96"/>
      <c r="I99" s="96" t="s">
        <v>363</v>
      </c>
      <c r="J99" s="134"/>
      <c r="K99" s="109"/>
      <c r="L99" s="109"/>
    </row>
    <row r="100" spans="1:12" ht="15.75" customHeight="1">
      <c r="A100" s="163" t="s">
        <v>319</v>
      </c>
      <c r="B100" s="357" t="s">
        <v>462</v>
      </c>
      <c r="C100" s="357"/>
      <c r="D100" s="357"/>
      <c r="E100" s="357"/>
      <c r="F100" s="357"/>
      <c r="G100" s="357"/>
      <c r="H100" s="164" t="s">
        <v>303</v>
      </c>
      <c r="I100" s="403">
        <v>625.34</v>
      </c>
      <c r="J100" s="134"/>
      <c r="K100" s="109"/>
      <c r="L100" s="109"/>
    </row>
    <row r="101" spans="1:12" ht="15.75" customHeight="1">
      <c r="A101" s="163" t="s">
        <v>322</v>
      </c>
      <c r="B101" s="357" t="s">
        <v>463</v>
      </c>
      <c r="C101" s="357"/>
      <c r="D101" s="357"/>
      <c r="E101" s="357"/>
      <c r="F101" s="357"/>
      <c r="G101" s="357"/>
      <c r="H101" s="164" t="s">
        <v>303</v>
      </c>
      <c r="I101" s="133">
        <f>EPIS!F23</f>
        <v>35.575000000000003</v>
      </c>
      <c r="J101" s="134"/>
      <c r="K101" s="109"/>
      <c r="L101" s="109"/>
    </row>
    <row r="102" spans="1:12" ht="15.75" customHeight="1">
      <c r="A102" s="163" t="s">
        <v>326</v>
      </c>
      <c r="B102" s="357" t="s">
        <v>464</v>
      </c>
      <c r="C102" s="357"/>
      <c r="D102" s="357"/>
      <c r="E102" s="357"/>
      <c r="F102" s="357"/>
      <c r="G102" s="357"/>
      <c r="H102" s="164" t="s">
        <v>303</v>
      </c>
      <c r="I102" s="403">
        <v>32.08</v>
      </c>
      <c r="J102" s="134"/>
      <c r="K102" s="109"/>
      <c r="L102" s="109"/>
    </row>
    <row r="103" spans="1:12" ht="15.75" customHeight="1">
      <c r="A103" s="163" t="s">
        <v>330</v>
      </c>
      <c r="B103" s="357" t="s">
        <v>465</v>
      </c>
      <c r="C103" s="357"/>
      <c r="D103" s="357"/>
      <c r="E103" s="357"/>
      <c r="F103" s="357"/>
      <c r="G103" s="357"/>
      <c r="H103" s="165" t="s">
        <v>303</v>
      </c>
      <c r="I103" s="403">
        <v>0.91</v>
      </c>
      <c r="J103" s="134"/>
      <c r="K103" s="109"/>
      <c r="L103" s="109"/>
    </row>
    <row r="104" spans="1:12" ht="15.75" customHeight="1">
      <c r="A104" s="351" t="s">
        <v>466</v>
      </c>
      <c r="B104" s="351"/>
      <c r="C104" s="351"/>
      <c r="D104" s="351"/>
      <c r="E104" s="351"/>
      <c r="F104" s="351"/>
      <c r="G104" s="351"/>
      <c r="H104" s="98" t="s">
        <v>303</v>
      </c>
      <c r="I104" s="129">
        <f>SUM(I100:I103)</f>
        <v>693.90500000000009</v>
      </c>
      <c r="J104" s="134"/>
      <c r="K104" s="109"/>
      <c r="L104" s="109"/>
    </row>
    <row r="105" spans="1:12" ht="15.75" customHeight="1">
      <c r="A105" s="371" t="s">
        <v>467</v>
      </c>
      <c r="B105" s="371"/>
      <c r="C105" s="371"/>
      <c r="D105" s="371"/>
      <c r="E105" s="371"/>
      <c r="F105" s="371"/>
      <c r="G105" s="358" t="s">
        <v>386</v>
      </c>
      <c r="H105" s="358"/>
      <c r="I105" s="135">
        <f>I29</f>
        <v>1553.96</v>
      </c>
      <c r="J105" s="134"/>
      <c r="K105" s="109"/>
      <c r="L105" s="109"/>
    </row>
    <row r="106" spans="1:12" ht="15.75" customHeight="1">
      <c r="A106" s="371"/>
      <c r="B106" s="371"/>
      <c r="C106" s="371"/>
      <c r="D106" s="371"/>
      <c r="E106" s="371"/>
      <c r="F106" s="371"/>
      <c r="G106" s="358" t="s">
        <v>430</v>
      </c>
      <c r="H106" s="358"/>
      <c r="I106" s="135">
        <f>I62</f>
        <v>1501.4180000000001</v>
      </c>
      <c r="J106" s="134"/>
      <c r="K106" s="109"/>
      <c r="L106" s="109"/>
    </row>
    <row r="107" spans="1:12" ht="15.75" customHeight="1">
      <c r="A107" s="371"/>
      <c r="B107" s="371"/>
      <c r="C107" s="371"/>
      <c r="D107" s="371"/>
      <c r="E107" s="371"/>
      <c r="F107" s="371"/>
      <c r="G107" s="358" t="s">
        <v>440</v>
      </c>
      <c r="H107" s="358"/>
      <c r="I107" s="135">
        <f>I73</f>
        <v>212.04000000000002</v>
      </c>
      <c r="J107" s="134"/>
      <c r="K107" s="109"/>
      <c r="L107" s="109"/>
    </row>
    <row r="108" spans="1:12" ht="15.75" customHeight="1">
      <c r="A108" s="371"/>
      <c r="B108" s="371"/>
      <c r="C108" s="371"/>
      <c r="D108" s="371"/>
      <c r="E108" s="371"/>
      <c r="F108" s="371"/>
      <c r="G108" s="358" t="s">
        <v>468</v>
      </c>
      <c r="H108" s="358"/>
      <c r="I108" s="135">
        <f>I96</f>
        <v>62.739999999999995</v>
      </c>
      <c r="J108" s="134"/>
      <c r="K108" s="141"/>
      <c r="L108" s="141"/>
    </row>
    <row r="109" spans="1:12" ht="15.75" customHeight="1">
      <c r="A109" s="371"/>
      <c r="B109" s="371"/>
      <c r="C109" s="371"/>
      <c r="D109" s="371"/>
      <c r="E109" s="371"/>
      <c r="F109" s="371"/>
      <c r="G109" s="358" t="s">
        <v>469</v>
      </c>
      <c r="H109" s="358"/>
      <c r="I109" s="135">
        <f>I104</f>
        <v>693.90500000000009</v>
      </c>
      <c r="J109" s="134"/>
      <c r="K109" s="141"/>
      <c r="L109" s="141"/>
    </row>
    <row r="110" spans="1:12" ht="15.75" customHeight="1">
      <c r="A110" s="371"/>
      <c r="B110" s="371"/>
      <c r="C110" s="371"/>
      <c r="D110" s="371"/>
      <c r="E110" s="371"/>
      <c r="F110" s="371"/>
      <c r="G110" s="359" t="s">
        <v>389</v>
      </c>
      <c r="H110" s="359"/>
      <c r="I110" s="140">
        <f>SUM(I105:I109)</f>
        <v>4024.0630000000001</v>
      </c>
      <c r="J110" s="134"/>
      <c r="K110" s="109"/>
      <c r="L110" s="109"/>
    </row>
    <row r="111" spans="1:12" ht="15.75" customHeight="1">
      <c r="A111" s="351" t="s">
        <v>470</v>
      </c>
      <c r="B111" s="351"/>
      <c r="C111" s="351"/>
      <c r="D111" s="351"/>
      <c r="E111" s="351"/>
      <c r="F111" s="351"/>
      <c r="G111" s="351"/>
      <c r="H111" s="351"/>
      <c r="I111" s="351"/>
      <c r="J111" s="134"/>
      <c r="K111" s="109"/>
      <c r="L111" s="109"/>
    </row>
    <row r="112" spans="1:12" ht="15.75" customHeight="1">
      <c r="A112" s="96">
        <v>6</v>
      </c>
      <c r="B112" s="351" t="s">
        <v>471</v>
      </c>
      <c r="C112" s="351"/>
      <c r="D112" s="351"/>
      <c r="E112" s="351"/>
      <c r="F112" s="351"/>
      <c r="G112" s="351"/>
      <c r="H112" s="96" t="s">
        <v>362</v>
      </c>
      <c r="I112" s="96" t="s">
        <v>363</v>
      </c>
      <c r="J112" s="134"/>
      <c r="K112" s="109"/>
      <c r="L112" s="109"/>
    </row>
    <row r="113" spans="1:12" ht="15.75" customHeight="1">
      <c r="A113" s="95" t="s">
        <v>319</v>
      </c>
      <c r="B113" s="352" t="s">
        <v>472</v>
      </c>
      <c r="C113" s="352"/>
      <c r="D113" s="352"/>
      <c r="E113" s="352"/>
      <c r="F113" s="352"/>
      <c r="G113" s="352"/>
      <c r="H113" s="404">
        <v>1.4999999999999999E-2</v>
      </c>
      <c r="I113" s="133">
        <f>ROUND(H113*I110,2)</f>
        <v>60.36</v>
      </c>
      <c r="J113" s="134"/>
      <c r="K113" s="109"/>
      <c r="L113" s="109"/>
    </row>
    <row r="114" spans="1:12" ht="15.75" customHeight="1">
      <c r="A114" s="95" t="s">
        <v>322</v>
      </c>
      <c r="B114" s="352" t="s">
        <v>473</v>
      </c>
      <c r="C114" s="352"/>
      <c r="D114" s="352"/>
      <c r="E114" s="352"/>
      <c r="F114" s="352"/>
      <c r="G114" s="352"/>
      <c r="H114" s="404">
        <v>1.4999999999999999E-2</v>
      </c>
      <c r="I114" s="133">
        <f>ROUND(H114*(I110+I113),2)</f>
        <v>61.27</v>
      </c>
      <c r="J114" s="134"/>
      <c r="K114" s="109"/>
      <c r="L114" s="109"/>
    </row>
    <row r="115" spans="1:12" ht="15.75" customHeight="1">
      <c r="A115" s="95" t="s">
        <v>326</v>
      </c>
      <c r="B115" s="364" t="s">
        <v>474</v>
      </c>
      <c r="C115" s="364"/>
      <c r="D115" s="364"/>
      <c r="E115" s="364"/>
      <c r="F115" s="364"/>
      <c r="G115" s="364"/>
      <c r="H115" s="97"/>
      <c r="I115" s="184"/>
      <c r="J115" s="134"/>
      <c r="K115" s="109"/>
      <c r="L115" s="109"/>
    </row>
    <row r="116" spans="1:12" ht="15.75" customHeight="1">
      <c r="A116" s="95" t="s">
        <v>475</v>
      </c>
      <c r="B116" s="352" t="s">
        <v>476</v>
      </c>
      <c r="C116" s="352"/>
      <c r="D116" s="352"/>
      <c r="E116" s="352"/>
      <c r="F116" s="352"/>
      <c r="G116" s="352"/>
      <c r="H116" s="404">
        <v>5.7999999999999996E-3</v>
      </c>
      <c r="I116" s="133">
        <f>ROUND($I$126*H116,2)</f>
        <v>26.2</v>
      </c>
      <c r="J116" s="134"/>
      <c r="K116" s="109"/>
      <c r="L116" s="109"/>
    </row>
    <row r="117" spans="1:12" ht="15.75" customHeight="1">
      <c r="A117" s="95" t="s">
        <v>477</v>
      </c>
      <c r="B117" s="352" t="s">
        <v>376</v>
      </c>
      <c r="C117" s="352"/>
      <c r="D117" s="352"/>
      <c r="E117" s="352"/>
      <c r="F117" s="352"/>
      <c r="G117" s="352"/>
      <c r="H117" s="404">
        <v>2.6599999999999999E-2</v>
      </c>
      <c r="I117" s="133">
        <f>ROUND($I$126*H117,2)</f>
        <v>120.18</v>
      </c>
      <c r="J117" s="134"/>
      <c r="K117" s="109"/>
      <c r="L117" s="109"/>
    </row>
    <row r="118" spans="1:12" ht="15.75" customHeight="1">
      <c r="A118" s="95" t="s">
        <v>478</v>
      </c>
      <c r="B118" s="352" t="s">
        <v>479</v>
      </c>
      <c r="C118" s="352"/>
      <c r="D118" s="352"/>
      <c r="E118" s="352"/>
      <c r="F118" s="352"/>
      <c r="G118" s="352"/>
      <c r="H118" s="167">
        <v>0.05</v>
      </c>
      <c r="I118" s="133">
        <f>ROUND($I$126*H118,2)</f>
        <v>225.9</v>
      </c>
      <c r="J118" s="134"/>
      <c r="K118" s="109"/>
      <c r="L118" s="109"/>
    </row>
    <row r="119" spans="1:12" ht="15.75" customHeight="1">
      <c r="A119" s="351" t="s">
        <v>480</v>
      </c>
      <c r="B119" s="351"/>
      <c r="C119" s="351"/>
      <c r="D119" s="351"/>
      <c r="E119" s="351"/>
      <c r="F119" s="351"/>
      <c r="G119" s="351"/>
      <c r="H119" s="168">
        <f>SUM(H113:H118)</f>
        <v>0.1124</v>
      </c>
      <c r="I119" s="129">
        <f>SUM(I113:I118)</f>
        <v>493.90999999999997</v>
      </c>
      <c r="J119" s="134"/>
      <c r="K119" s="109"/>
      <c r="L119" s="109"/>
    </row>
    <row r="120" spans="1:12" ht="15.75" customHeight="1">
      <c r="A120" s="169"/>
      <c r="B120" s="170"/>
      <c r="C120" s="170"/>
      <c r="D120" s="170"/>
      <c r="E120" s="170"/>
      <c r="F120" s="170"/>
      <c r="G120" s="170"/>
      <c r="H120" s="171"/>
      <c r="I120" s="185"/>
      <c r="J120" s="134"/>
      <c r="K120" s="109"/>
      <c r="L120" s="109"/>
    </row>
    <row r="121" spans="1:12" ht="15.75" customHeight="1">
      <c r="A121" s="172" t="s">
        <v>481</v>
      </c>
      <c r="B121" s="365" t="s">
        <v>482</v>
      </c>
      <c r="C121" s="365"/>
      <c r="D121" s="365"/>
      <c r="E121" s="365"/>
      <c r="F121" s="365"/>
      <c r="G121" s="365"/>
      <c r="H121" s="174">
        <f>SUM(H116+H117+H118)</f>
        <v>8.2400000000000001E-2</v>
      </c>
      <c r="I121" s="186"/>
      <c r="J121" s="134"/>
      <c r="K121" s="109"/>
      <c r="L121" s="109"/>
    </row>
    <row r="122" spans="1:12" ht="15.75" customHeight="1">
      <c r="A122" s="172"/>
      <c r="B122" s="365">
        <v>100</v>
      </c>
      <c r="C122" s="365"/>
      <c r="D122" s="365"/>
      <c r="E122" s="365"/>
      <c r="F122" s="365"/>
      <c r="G122" s="365"/>
      <c r="H122" s="174"/>
      <c r="I122" s="186"/>
      <c r="J122" s="134"/>
      <c r="K122" s="109"/>
      <c r="L122" s="109"/>
    </row>
    <row r="123" spans="1:12" ht="15.75" customHeight="1">
      <c r="A123" s="175"/>
      <c r="B123" s="176"/>
      <c r="C123" s="176"/>
      <c r="D123" s="176"/>
      <c r="E123" s="176"/>
      <c r="F123" s="176"/>
      <c r="G123" s="176"/>
      <c r="H123" s="176"/>
      <c r="I123" s="187"/>
      <c r="J123" s="134"/>
      <c r="K123" s="141"/>
      <c r="L123" s="141"/>
    </row>
    <row r="124" spans="1:12" ht="15.75" customHeight="1">
      <c r="A124" s="172" t="s">
        <v>483</v>
      </c>
      <c r="B124" s="365" t="s">
        <v>484</v>
      </c>
      <c r="C124" s="365"/>
      <c r="D124" s="365"/>
      <c r="E124" s="365"/>
      <c r="F124" s="365"/>
      <c r="G124" s="365"/>
      <c r="H124" s="174"/>
      <c r="I124" s="186">
        <f>I110+I113+I114</f>
        <v>4145.6930000000002</v>
      </c>
      <c r="J124" s="134"/>
      <c r="K124" s="109"/>
      <c r="L124" s="109"/>
    </row>
    <row r="125" spans="1:12" ht="15.75" customHeight="1">
      <c r="A125" s="177"/>
      <c r="B125" s="178"/>
      <c r="C125" s="178"/>
      <c r="D125" s="178"/>
      <c r="E125" s="178"/>
      <c r="F125" s="178"/>
      <c r="G125" s="178"/>
      <c r="H125" s="178"/>
      <c r="I125" s="188"/>
      <c r="J125" s="134"/>
      <c r="K125" s="109"/>
      <c r="L125" s="109"/>
    </row>
    <row r="126" spans="1:12" ht="15.75" customHeight="1">
      <c r="A126" s="172" t="s">
        <v>485</v>
      </c>
      <c r="B126" s="365" t="s">
        <v>486</v>
      </c>
      <c r="C126" s="365"/>
      <c r="D126" s="365"/>
      <c r="E126" s="365"/>
      <c r="F126" s="365"/>
      <c r="G126" s="365"/>
      <c r="H126" s="174"/>
      <c r="I126" s="186">
        <f>ROUND(I124/(1-H121),2)</f>
        <v>4517.97</v>
      </c>
      <c r="J126" s="134"/>
      <c r="K126" s="109"/>
      <c r="L126" s="109"/>
    </row>
    <row r="127" spans="1:12" ht="15.75" customHeight="1">
      <c r="A127" s="172"/>
      <c r="B127" s="173"/>
      <c r="C127" s="173"/>
      <c r="D127" s="173"/>
      <c r="E127" s="173"/>
      <c r="F127" s="173"/>
      <c r="G127" s="173"/>
      <c r="H127" s="174"/>
      <c r="I127" s="186"/>
      <c r="J127" s="134"/>
      <c r="K127" s="109"/>
      <c r="L127" s="109"/>
    </row>
    <row r="128" spans="1:12" ht="15.75" customHeight="1">
      <c r="A128" s="172"/>
      <c r="B128" s="365" t="s">
        <v>487</v>
      </c>
      <c r="C128" s="365"/>
      <c r="D128" s="365"/>
      <c r="E128" s="365"/>
      <c r="F128" s="365"/>
      <c r="G128" s="365"/>
      <c r="H128" s="174"/>
      <c r="I128" s="186">
        <f>I126-I124</f>
        <v>372.27700000000004</v>
      </c>
      <c r="J128" s="134"/>
      <c r="K128" s="109"/>
      <c r="L128" s="109"/>
    </row>
    <row r="129" spans="1:12" ht="15.75" customHeight="1">
      <c r="A129" s="172"/>
      <c r="B129" s="173"/>
      <c r="H129" s="174"/>
      <c r="I129" s="186"/>
      <c r="J129" s="134"/>
      <c r="K129" s="109"/>
      <c r="L129" s="109"/>
    </row>
    <row r="130" spans="1:12" ht="15.75" customHeight="1">
      <c r="A130" s="351" t="s">
        <v>488</v>
      </c>
      <c r="B130" s="351"/>
      <c r="C130" s="351"/>
      <c r="D130" s="351"/>
      <c r="E130" s="351"/>
      <c r="F130" s="351"/>
      <c r="G130" s="351"/>
      <c r="H130" s="351"/>
      <c r="I130" s="351"/>
      <c r="J130" s="134"/>
      <c r="K130" s="109"/>
      <c r="L130" s="109"/>
    </row>
    <row r="131" spans="1:12" ht="15.75" customHeight="1">
      <c r="A131" s="351" t="s">
        <v>489</v>
      </c>
      <c r="B131" s="351"/>
      <c r="C131" s="351"/>
      <c r="D131" s="351"/>
      <c r="E131" s="351"/>
      <c r="F131" s="351"/>
      <c r="G131" s="351"/>
      <c r="H131" s="351"/>
      <c r="I131" s="96" t="s">
        <v>363</v>
      </c>
      <c r="J131" s="134"/>
      <c r="K131" s="141"/>
      <c r="L131" s="141"/>
    </row>
    <row r="132" spans="1:12" ht="15.75" customHeight="1">
      <c r="A132" s="63" t="s">
        <v>319</v>
      </c>
      <c r="B132" s="352" t="str">
        <f>A21</f>
        <v>MÓDULO 1 - COMPOSIÇÃO DA REMUNERAÇÃO</v>
      </c>
      <c r="C132" s="352"/>
      <c r="D132" s="352"/>
      <c r="E132" s="352"/>
      <c r="F132" s="352"/>
      <c r="G132" s="352"/>
      <c r="H132" s="352"/>
      <c r="I132" s="189">
        <f>I29</f>
        <v>1553.96</v>
      </c>
      <c r="J132" s="134"/>
      <c r="K132" s="141"/>
      <c r="L132" s="141"/>
    </row>
    <row r="133" spans="1:12" ht="15.75" customHeight="1">
      <c r="A133" s="63" t="s">
        <v>322</v>
      </c>
      <c r="B133" s="352" t="str">
        <f>A31</f>
        <v>MÓDULO 2 – ENCARGOS E BENEFÍCIOS ANUAIS, MENSAIS E DIÁRIOS</v>
      </c>
      <c r="C133" s="352"/>
      <c r="D133" s="352"/>
      <c r="E133" s="352"/>
      <c r="F133" s="352"/>
      <c r="G133" s="352"/>
      <c r="H133" s="352"/>
      <c r="I133" s="189">
        <f>I62</f>
        <v>1501.4180000000001</v>
      </c>
      <c r="J133" s="134"/>
      <c r="K133" s="141"/>
      <c r="L133" s="141"/>
    </row>
    <row r="134" spans="1:12" ht="15.75" customHeight="1">
      <c r="A134" s="63" t="s">
        <v>326</v>
      </c>
      <c r="B134" s="352" t="str">
        <f>A66</f>
        <v>MÓDULO 3 – PROVISÃO PARA RESCISÃO</v>
      </c>
      <c r="C134" s="352"/>
      <c r="D134" s="352"/>
      <c r="E134" s="352"/>
      <c r="F134" s="352"/>
      <c r="G134" s="352"/>
      <c r="H134" s="352"/>
      <c r="I134" s="189">
        <f>I73</f>
        <v>212.04000000000002</v>
      </c>
      <c r="J134" s="134"/>
      <c r="K134" s="100"/>
      <c r="L134" s="100"/>
    </row>
    <row r="135" spans="1:12" ht="15.75" customHeight="1">
      <c r="A135" s="63" t="s">
        <v>330</v>
      </c>
      <c r="B135" s="352" t="str">
        <f>A78</f>
        <v>MÓDULO 4 – CUSTO DE REPOSIÇÃO DO PROFISSIONAL AUSENTE</v>
      </c>
      <c r="C135" s="352"/>
      <c r="D135" s="352"/>
      <c r="E135" s="352"/>
      <c r="F135" s="352"/>
      <c r="G135" s="352"/>
      <c r="H135" s="352"/>
      <c r="I135" s="189">
        <f>I96</f>
        <v>62.739999999999995</v>
      </c>
      <c r="J135" s="190"/>
      <c r="K135" s="100"/>
      <c r="L135" s="100"/>
    </row>
    <row r="136" spans="1:12" ht="15.75" customHeight="1">
      <c r="A136" s="63" t="s">
        <v>372</v>
      </c>
      <c r="B136" s="352" t="str">
        <f>A98</f>
        <v>MÓDULO 5 – INSUMOS DIVERSOS</v>
      </c>
      <c r="C136" s="352"/>
      <c r="D136" s="352"/>
      <c r="E136" s="352"/>
      <c r="F136" s="352"/>
      <c r="G136" s="352"/>
      <c r="H136" s="352"/>
      <c r="I136" s="189">
        <f>I104</f>
        <v>693.90500000000009</v>
      </c>
      <c r="J136" s="134"/>
      <c r="K136" s="100"/>
      <c r="L136" s="100"/>
    </row>
    <row r="137" spans="1:12" ht="15.75" customHeight="1">
      <c r="A137" s="351" t="s">
        <v>490</v>
      </c>
      <c r="B137" s="351"/>
      <c r="C137" s="351"/>
      <c r="D137" s="351"/>
      <c r="E137" s="351"/>
      <c r="F137" s="351"/>
      <c r="G137" s="351"/>
      <c r="H137" s="351"/>
      <c r="I137" s="129">
        <f>SUM(I132:I136)</f>
        <v>4024.0630000000001</v>
      </c>
      <c r="J137" s="134"/>
    </row>
    <row r="138" spans="1:12" ht="15.75" customHeight="1">
      <c r="A138" s="63" t="s">
        <v>374</v>
      </c>
      <c r="B138" s="352" t="str">
        <f>A111</f>
        <v>MÓDULO 6 – CUSTOS INDIRETOS, TRIBUTOS E LUCRO</v>
      </c>
      <c r="C138" s="352"/>
      <c r="D138" s="352"/>
      <c r="E138" s="352"/>
      <c r="F138" s="352"/>
      <c r="G138" s="352"/>
      <c r="H138" s="352"/>
      <c r="I138" s="189">
        <f>I119</f>
        <v>493.90999999999997</v>
      </c>
      <c r="J138" s="191">
        <f>SUM(J28:J137)</f>
        <v>2851.2740400000002</v>
      </c>
    </row>
    <row r="139" spans="1:12" ht="15.75" customHeight="1">
      <c r="A139" s="351" t="s">
        <v>491</v>
      </c>
      <c r="B139" s="351"/>
      <c r="C139" s="351"/>
      <c r="D139" s="351"/>
      <c r="E139" s="351"/>
      <c r="F139" s="351"/>
      <c r="G139" s="351"/>
      <c r="H139" s="351"/>
      <c r="I139" s="129">
        <f>SUM(I137:I138)</f>
        <v>4517.973</v>
      </c>
    </row>
    <row r="140" spans="1:12" ht="15.75" customHeight="1"/>
    <row r="141" spans="1:12" ht="15.75" customHeight="1"/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2" firstPageNumber="0" orientation="portrait" useFirstPageNumber="1" horizontalDpi="300" verticalDpi="300"/>
  <rowBreaks count="2" manualBreakCount="2">
    <brk id="68" max="16383" man="1"/>
    <brk id="140" max="16383" man="1"/>
  </row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997"/>
  <sheetViews>
    <sheetView topLeftCell="A59" zoomScale="59" zoomScaleNormal="59" workbookViewId="0">
      <selection activeCell="B115" sqref="B115:G115"/>
    </sheetView>
  </sheetViews>
  <sheetFormatPr defaultColWidth="9" defaultRowHeight="15"/>
  <cols>
    <col min="1" max="1" width="7.42578125" customWidth="1"/>
    <col min="2" max="2" width="10.85546875" customWidth="1"/>
    <col min="3" max="4" width="14.85546875" customWidth="1"/>
    <col min="5" max="5" width="12.42578125" customWidth="1"/>
    <col min="6" max="6" width="10.42578125" customWidth="1"/>
    <col min="7" max="7" width="14.7109375" customWidth="1"/>
    <col min="8" max="8" width="17.28515625" customWidth="1"/>
    <col min="9" max="9" width="28.5703125" customWidth="1"/>
    <col min="10" max="10" width="32" customWidth="1"/>
    <col min="11" max="11" width="45.28515625" customWidth="1"/>
    <col min="12" max="12" width="37.28515625" customWidth="1"/>
    <col min="13" max="1025" width="14.42578125" customWidth="1"/>
  </cols>
  <sheetData>
    <row r="1" spans="1:12" ht="15.75">
      <c r="A1" s="348" t="s">
        <v>505</v>
      </c>
      <c r="B1" s="348"/>
      <c r="C1" s="348"/>
      <c r="D1" s="348"/>
      <c r="E1" s="348"/>
      <c r="F1" s="348"/>
      <c r="G1" s="348"/>
      <c r="H1" s="348"/>
      <c r="I1" s="348"/>
      <c r="J1" s="366" t="s">
        <v>315</v>
      </c>
      <c r="K1" s="100"/>
      <c r="L1" s="100"/>
    </row>
    <row r="2" spans="1:12" ht="15.75">
      <c r="A2" s="348"/>
      <c r="B2" s="348"/>
      <c r="C2" s="348"/>
      <c r="D2" s="348"/>
      <c r="E2" s="348"/>
      <c r="F2" s="348"/>
      <c r="G2" s="348"/>
      <c r="H2" s="348"/>
      <c r="I2" s="348"/>
      <c r="J2" s="366"/>
      <c r="K2" s="100"/>
      <c r="L2" s="100"/>
    </row>
    <row r="3" spans="1:12" ht="15.75">
      <c r="A3" s="348" t="s">
        <v>316</v>
      </c>
      <c r="B3" s="348"/>
      <c r="C3" s="348"/>
      <c r="D3" s="348"/>
      <c r="E3" s="348"/>
      <c r="F3" s="348"/>
      <c r="G3" s="348"/>
      <c r="H3" s="350" t="s">
        <v>317</v>
      </c>
      <c r="I3" s="350"/>
      <c r="J3" s="366"/>
      <c r="K3" s="100"/>
      <c r="L3" s="100"/>
    </row>
    <row r="4" spans="1:12" ht="15.75">
      <c r="A4" s="348"/>
      <c r="B4" s="348"/>
      <c r="C4" s="348"/>
      <c r="D4" s="348"/>
      <c r="E4" s="348"/>
      <c r="F4" s="348"/>
      <c r="G4" s="348"/>
      <c r="H4" s="348"/>
      <c r="I4" s="348"/>
      <c r="J4" s="366"/>
      <c r="K4" s="101"/>
      <c r="L4" s="101"/>
    </row>
    <row r="5" spans="1:12" ht="15.75">
      <c r="A5" s="351" t="s">
        <v>318</v>
      </c>
      <c r="B5" s="351"/>
      <c r="C5" s="351"/>
      <c r="D5" s="351"/>
      <c r="E5" s="351"/>
      <c r="F5" s="351"/>
      <c r="G5" s="351"/>
      <c r="H5" s="351"/>
      <c r="I5" s="351"/>
      <c r="J5" s="366"/>
      <c r="K5" s="100"/>
      <c r="L5" s="100"/>
    </row>
    <row r="6" spans="1:12" ht="15.75">
      <c r="A6" s="63" t="s">
        <v>319</v>
      </c>
      <c r="B6" s="352" t="s">
        <v>320</v>
      </c>
      <c r="C6" s="352"/>
      <c r="D6" s="352"/>
      <c r="E6" s="352"/>
      <c r="F6" s="352"/>
      <c r="G6" s="352"/>
      <c r="H6" s="352"/>
      <c r="I6" s="102"/>
      <c r="J6" s="366"/>
      <c r="K6" s="103" t="s">
        <v>321</v>
      </c>
      <c r="L6" s="104"/>
    </row>
    <row r="7" spans="1:12" ht="15.75">
      <c r="A7" s="63" t="s">
        <v>322</v>
      </c>
      <c r="B7" s="352" t="s">
        <v>323</v>
      </c>
      <c r="C7" s="352"/>
      <c r="D7" s="352"/>
      <c r="E7" s="352"/>
      <c r="F7" s="352"/>
      <c r="G7" s="352"/>
      <c r="H7" s="352"/>
      <c r="I7" s="63" t="s">
        <v>324</v>
      </c>
      <c r="J7" s="366"/>
      <c r="K7" s="105" t="s">
        <v>325</v>
      </c>
      <c r="L7" s="106"/>
    </row>
    <row r="8" spans="1:12" ht="15.75">
      <c r="A8" s="63" t="s">
        <v>326</v>
      </c>
      <c r="B8" s="352" t="s">
        <v>327</v>
      </c>
      <c r="C8" s="352"/>
      <c r="D8" s="352"/>
      <c r="E8" s="352"/>
      <c r="F8" s="352"/>
      <c r="G8" s="352"/>
      <c r="H8" s="352"/>
      <c r="I8" s="63" t="s">
        <v>328</v>
      </c>
      <c r="J8" s="366"/>
      <c r="K8" s="107" t="s">
        <v>329</v>
      </c>
      <c r="L8" s="108">
        <f>J138</f>
        <v>3300.0837999999999</v>
      </c>
    </row>
    <row r="9" spans="1:12" ht="15.75">
      <c r="A9" s="63" t="s">
        <v>330</v>
      </c>
      <c r="B9" s="352" t="s">
        <v>331</v>
      </c>
      <c r="C9" s="352"/>
      <c r="D9" s="352"/>
      <c r="E9" s="352"/>
      <c r="F9" s="352"/>
      <c r="G9" s="352"/>
      <c r="H9" s="352"/>
      <c r="I9" s="63">
        <v>12</v>
      </c>
      <c r="J9" s="366"/>
      <c r="K9" s="109"/>
      <c r="L9" s="109"/>
    </row>
    <row r="10" spans="1:12" ht="15.75">
      <c r="A10" s="353"/>
      <c r="B10" s="353"/>
      <c r="C10" s="353"/>
      <c r="D10" s="353"/>
      <c r="E10" s="353"/>
      <c r="F10" s="353"/>
      <c r="G10" s="353"/>
      <c r="H10" s="353"/>
      <c r="I10" s="353"/>
      <c r="J10" s="366"/>
      <c r="K10" s="103" t="s">
        <v>332</v>
      </c>
      <c r="L10" s="104"/>
    </row>
    <row r="11" spans="1:12" ht="12.75" customHeight="1">
      <c r="A11" s="351" t="s">
        <v>333</v>
      </c>
      <c r="B11" s="351"/>
      <c r="C11" s="351"/>
      <c r="D11" s="351"/>
      <c r="E11" s="351"/>
      <c r="F11" s="351"/>
      <c r="G11" s="351"/>
      <c r="H11" s="351"/>
      <c r="I11" s="351"/>
      <c r="J11" s="366"/>
      <c r="K11" s="110" t="s">
        <v>334</v>
      </c>
      <c r="L11" s="111"/>
    </row>
    <row r="12" spans="1:12" ht="15.75">
      <c r="A12" s="350" t="s">
        <v>335</v>
      </c>
      <c r="B12" s="350"/>
      <c r="C12" s="350" t="s">
        <v>336</v>
      </c>
      <c r="D12" s="350"/>
      <c r="E12" s="350" t="s">
        <v>337</v>
      </c>
      <c r="F12" s="350"/>
      <c r="G12" s="350"/>
      <c r="H12" s="350"/>
      <c r="I12" s="350"/>
      <c r="J12" s="366"/>
      <c r="K12" s="112" t="s">
        <v>338</v>
      </c>
      <c r="L12" s="113">
        <v>0.11</v>
      </c>
    </row>
    <row r="13" spans="1:12" ht="15.75">
      <c r="A13" s="354" t="s">
        <v>339</v>
      </c>
      <c r="B13" s="354"/>
      <c r="C13" s="355" t="s">
        <v>499</v>
      </c>
      <c r="D13" s="355"/>
      <c r="E13" s="350"/>
      <c r="F13" s="350"/>
      <c r="G13" s="350"/>
      <c r="H13" s="350"/>
      <c r="I13" s="350"/>
      <c r="J13" s="366"/>
      <c r="K13" s="114" t="s">
        <v>341</v>
      </c>
      <c r="L13" s="115">
        <f>I52</f>
        <v>473.82</v>
      </c>
    </row>
    <row r="14" spans="1:12" ht="15.75">
      <c r="A14" s="351" t="s">
        <v>342</v>
      </c>
      <c r="B14" s="351"/>
      <c r="C14" s="351"/>
      <c r="D14" s="351"/>
      <c r="E14" s="351"/>
      <c r="F14" s="351"/>
      <c r="G14" s="351"/>
      <c r="H14" s="351"/>
      <c r="I14" s="351"/>
      <c r="J14" s="366"/>
      <c r="K14" s="114" t="s">
        <v>343</v>
      </c>
      <c r="L14" s="115">
        <f>I104</f>
        <v>693.90500000000009</v>
      </c>
    </row>
    <row r="15" spans="1:12" ht="26.25">
      <c r="A15" s="63">
        <v>1</v>
      </c>
      <c r="B15" s="352" t="s">
        <v>344</v>
      </c>
      <c r="C15" s="352"/>
      <c r="D15" s="352"/>
      <c r="E15" s="352"/>
      <c r="F15" s="352"/>
      <c r="G15" s="352"/>
      <c r="H15" s="352"/>
      <c r="I15" s="69" t="s">
        <v>500</v>
      </c>
      <c r="J15" s="366"/>
      <c r="K15" s="114" t="s">
        <v>346</v>
      </c>
      <c r="L15" s="115">
        <f>I51</f>
        <v>0</v>
      </c>
    </row>
    <row r="16" spans="1:12" ht="15.75">
      <c r="A16" s="63">
        <v>2</v>
      </c>
      <c r="B16" s="352" t="s">
        <v>347</v>
      </c>
      <c r="C16" s="352"/>
      <c r="D16" s="352"/>
      <c r="E16" s="352"/>
      <c r="F16" s="352"/>
      <c r="G16" s="352"/>
      <c r="H16" s="352"/>
      <c r="I16" s="63" t="s">
        <v>501</v>
      </c>
      <c r="J16" s="366"/>
      <c r="K16" s="116" t="s">
        <v>349</v>
      </c>
      <c r="L16" s="117">
        <f>SUM(L13:L15)</f>
        <v>1167.7250000000001</v>
      </c>
    </row>
    <row r="17" spans="1:12" ht="15.75">
      <c r="A17" s="63">
        <v>3</v>
      </c>
      <c r="B17" s="352" t="s">
        <v>350</v>
      </c>
      <c r="C17" s="352"/>
      <c r="D17" s="352"/>
      <c r="E17" s="352"/>
      <c r="F17" s="352"/>
      <c r="G17" s="352"/>
      <c r="H17" s="352"/>
      <c r="I17" s="64">
        <v>1553.96</v>
      </c>
      <c r="J17" s="366"/>
      <c r="K17" s="114" t="s">
        <v>351</v>
      </c>
      <c r="L17" s="118">
        <f>I139</f>
        <v>5121.0730000000003</v>
      </c>
    </row>
    <row r="18" spans="1:12" ht="51">
      <c r="A18" s="6">
        <v>4</v>
      </c>
      <c r="B18" s="356" t="s">
        <v>352</v>
      </c>
      <c r="C18" s="356"/>
      <c r="D18" s="356"/>
      <c r="E18" s="356"/>
      <c r="F18" s="356"/>
      <c r="G18" s="356"/>
      <c r="H18" s="356"/>
      <c r="I18" s="13" t="s">
        <v>353</v>
      </c>
      <c r="J18" s="366"/>
      <c r="K18" s="119" t="s">
        <v>354</v>
      </c>
      <c r="L18" s="120">
        <f>L17-L16</f>
        <v>3953.348</v>
      </c>
    </row>
    <row r="19" spans="1:12" ht="15.75">
      <c r="A19" s="63">
        <v>5</v>
      </c>
      <c r="B19" s="352" t="s">
        <v>355</v>
      </c>
      <c r="C19" s="352"/>
      <c r="D19" s="352"/>
      <c r="E19" s="352"/>
      <c r="F19" s="352"/>
      <c r="G19" s="352"/>
      <c r="H19" s="352"/>
      <c r="I19" s="102" t="s">
        <v>356</v>
      </c>
      <c r="J19" s="366"/>
      <c r="K19" s="121" t="s">
        <v>357</v>
      </c>
      <c r="L19" s="122">
        <f>L18*11%</f>
        <v>434.86827999999997</v>
      </c>
    </row>
    <row r="20" spans="1:12" ht="15.75">
      <c r="A20" s="357"/>
      <c r="B20" s="357"/>
      <c r="C20" s="357"/>
      <c r="D20" s="357"/>
      <c r="E20" s="357"/>
      <c r="F20" s="357"/>
      <c r="G20" s="357"/>
      <c r="H20" s="357"/>
      <c r="I20" s="357"/>
      <c r="J20" s="366"/>
      <c r="K20" s="112" t="s">
        <v>358</v>
      </c>
      <c r="L20" s="123"/>
    </row>
    <row r="21" spans="1:12" ht="15.75" customHeight="1">
      <c r="A21" s="351" t="s">
        <v>359</v>
      </c>
      <c r="B21" s="351"/>
      <c r="C21" s="351"/>
      <c r="D21" s="351"/>
      <c r="E21" s="351"/>
      <c r="F21" s="351"/>
      <c r="G21" s="351"/>
      <c r="H21" s="351"/>
      <c r="I21" s="351"/>
      <c r="J21" s="366"/>
      <c r="K21" s="124" t="s">
        <v>360</v>
      </c>
      <c r="L21" s="125">
        <v>1.2E-2</v>
      </c>
    </row>
    <row r="22" spans="1:12" ht="15.75" customHeight="1">
      <c r="A22" s="95">
        <v>1</v>
      </c>
      <c r="B22" s="351" t="s">
        <v>361</v>
      </c>
      <c r="C22" s="351"/>
      <c r="D22" s="351"/>
      <c r="E22" s="351"/>
      <c r="F22" s="351"/>
      <c r="G22" s="351"/>
      <c r="H22" s="96" t="s">
        <v>362</v>
      </c>
      <c r="I22" s="96" t="s">
        <v>363</v>
      </c>
      <c r="J22" s="366"/>
      <c r="K22" s="126" t="s">
        <v>364</v>
      </c>
      <c r="L22" s="127">
        <v>4.8000000000000001E-2</v>
      </c>
    </row>
    <row r="23" spans="1:12" ht="15.75" customHeight="1">
      <c r="A23" s="95" t="s">
        <v>319</v>
      </c>
      <c r="B23" s="352" t="s">
        <v>365</v>
      </c>
      <c r="C23" s="352"/>
      <c r="D23" s="352"/>
      <c r="E23" s="352"/>
      <c r="F23" s="352"/>
      <c r="G23" s="352"/>
      <c r="H23" s="62"/>
      <c r="I23" s="128">
        <f>I17</f>
        <v>1553.96</v>
      </c>
      <c r="J23" s="366"/>
      <c r="K23" s="114" t="s">
        <v>366</v>
      </c>
      <c r="L23" s="118">
        <f>L17</f>
        <v>5121.0730000000003</v>
      </c>
    </row>
    <row r="24" spans="1:12" ht="15.75" customHeight="1">
      <c r="A24" s="95" t="s">
        <v>322</v>
      </c>
      <c r="B24" s="352" t="s">
        <v>367</v>
      </c>
      <c r="C24" s="352"/>
      <c r="D24" s="352"/>
      <c r="E24" s="352"/>
      <c r="F24" s="352"/>
      <c r="G24" s="352"/>
      <c r="H24" s="97"/>
      <c r="I24" s="128">
        <v>0</v>
      </c>
      <c r="J24" s="366"/>
      <c r="K24" s="121" t="s">
        <v>368</v>
      </c>
      <c r="L24" s="122">
        <f>L23*L21</f>
        <v>61.452876000000003</v>
      </c>
    </row>
    <row r="25" spans="1:12" ht="15.75" customHeight="1">
      <c r="A25" s="95" t="s">
        <v>326</v>
      </c>
      <c r="B25" s="352" t="s">
        <v>369</v>
      </c>
      <c r="C25" s="352"/>
      <c r="D25" s="352"/>
      <c r="E25" s="352"/>
      <c r="F25" s="352"/>
      <c r="G25" s="352"/>
      <c r="H25" s="97">
        <v>0.2</v>
      </c>
      <c r="I25" s="128">
        <f>ROUND(1518*20%,2)</f>
        <v>303.60000000000002</v>
      </c>
      <c r="J25" s="366"/>
      <c r="K25" s="112" t="s">
        <v>370</v>
      </c>
      <c r="L25" s="113">
        <v>0.01</v>
      </c>
    </row>
    <row r="26" spans="1:12" ht="15.75" customHeight="1">
      <c r="A26" s="95" t="s">
        <v>330</v>
      </c>
      <c r="B26" s="352" t="s">
        <v>371</v>
      </c>
      <c r="C26" s="352"/>
      <c r="D26" s="352"/>
      <c r="E26" s="352"/>
      <c r="F26" s="352"/>
      <c r="G26" s="352"/>
      <c r="H26" s="97"/>
      <c r="I26" s="128">
        <v>0</v>
      </c>
      <c r="J26" s="366"/>
      <c r="K26" s="119" t="s">
        <v>351</v>
      </c>
      <c r="L26" s="120">
        <f>L17</f>
        <v>5121.0730000000003</v>
      </c>
    </row>
    <row r="27" spans="1:12" ht="15.75" customHeight="1">
      <c r="A27" s="95" t="s">
        <v>372</v>
      </c>
      <c r="B27" s="352" t="s">
        <v>373</v>
      </c>
      <c r="C27" s="352"/>
      <c r="D27" s="352"/>
      <c r="E27" s="352"/>
      <c r="F27" s="352"/>
      <c r="G27" s="352"/>
      <c r="H27" s="97"/>
      <c r="I27" s="128">
        <v>0</v>
      </c>
      <c r="J27" s="366"/>
      <c r="K27" s="121" t="s">
        <v>357</v>
      </c>
      <c r="L27" s="122">
        <f>L26*L25</f>
        <v>51.210730000000005</v>
      </c>
    </row>
    <row r="28" spans="1:12" ht="15.75" customHeight="1">
      <c r="A28" s="95" t="s">
        <v>374</v>
      </c>
      <c r="B28" s="352" t="s">
        <v>375</v>
      </c>
      <c r="C28" s="352"/>
      <c r="D28" s="352"/>
      <c r="E28" s="352"/>
      <c r="F28" s="352"/>
      <c r="G28" s="352"/>
      <c r="H28" s="97"/>
      <c r="I28" s="128">
        <v>0</v>
      </c>
      <c r="J28" s="366"/>
      <c r="K28" s="112" t="s">
        <v>376</v>
      </c>
      <c r="L28" s="113">
        <f>H117</f>
        <v>2.6599999999999999E-2</v>
      </c>
    </row>
    <row r="29" spans="1:12" ht="15.75" customHeight="1">
      <c r="A29" s="351" t="s">
        <v>377</v>
      </c>
      <c r="B29" s="351"/>
      <c r="C29" s="351"/>
      <c r="D29" s="351"/>
      <c r="E29" s="351"/>
      <c r="F29" s="351"/>
      <c r="G29" s="351"/>
      <c r="H29" s="351"/>
      <c r="I29" s="129">
        <f>SUM(I23:I28)</f>
        <v>1857.56</v>
      </c>
      <c r="J29" s="130">
        <f>SUM(I23:I28)</f>
        <v>1857.56</v>
      </c>
      <c r="K29" s="119" t="s">
        <v>351</v>
      </c>
      <c r="L29" s="120">
        <f>L17</f>
        <v>5121.0730000000003</v>
      </c>
    </row>
    <row r="30" spans="1:12" ht="15.7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131"/>
      <c r="K30" s="121" t="s">
        <v>357</v>
      </c>
      <c r="L30" s="122">
        <f>L29*L28</f>
        <v>136.22054180000001</v>
      </c>
    </row>
    <row r="31" spans="1:12" ht="15.75" customHeight="1">
      <c r="A31" s="351" t="s">
        <v>378</v>
      </c>
      <c r="B31" s="351"/>
      <c r="C31" s="351"/>
      <c r="D31" s="351"/>
      <c r="E31" s="351"/>
      <c r="F31" s="351"/>
      <c r="G31" s="351"/>
      <c r="H31" s="351"/>
      <c r="I31" s="351"/>
      <c r="J31" s="131"/>
      <c r="K31" s="112" t="s">
        <v>379</v>
      </c>
      <c r="L31" s="113">
        <f>H116</f>
        <v>5.7999999999999996E-3</v>
      </c>
    </row>
    <row r="32" spans="1:12" ht="15.75" customHeight="1">
      <c r="A32" s="351" t="s">
        <v>380</v>
      </c>
      <c r="B32" s="351"/>
      <c r="C32" s="351"/>
      <c r="D32" s="351"/>
      <c r="E32" s="351"/>
      <c r="F32" s="351"/>
      <c r="G32" s="351"/>
      <c r="H32" s="96" t="s">
        <v>362</v>
      </c>
      <c r="I32" s="96" t="s">
        <v>363</v>
      </c>
      <c r="J32" s="132"/>
      <c r="K32" s="119" t="s">
        <v>351</v>
      </c>
      <c r="L32" s="120">
        <f>L17</f>
        <v>5121.0730000000003</v>
      </c>
    </row>
    <row r="33" spans="1:12" ht="15.75" customHeight="1">
      <c r="A33" s="95" t="s">
        <v>319</v>
      </c>
      <c r="B33" s="352" t="s">
        <v>381</v>
      </c>
      <c r="C33" s="352"/>
      <c r="D33" s="352"/>
      <c r="E33" s="352"/>
      <c r="F33" s="352"/>
      <c r="G33" s="352"/>
      <c r="H33" s="97">
        <f>ROUND(1/12,4)</f>
        <v>8.3299999999999999E-2</v>
      </c>
      <c r="I33" s="133">
        <f>ROUND(I29*H33,2)</f>
        <v>154.72999999999999</v>
      </c>
      <c r="J33" s="130">
        <f>I33+(I33*$H$48)</f>
        <v>208.57603999999998</v>
      </c>
      <c r="K33" s="121" t="s">
        <v>357</v>
      </c>
      <c r="L33" s="122">
        <f>L32*L31</f>
        <v>29.702223400000001</v>
      </c>
    </row>
    <row r="34" spans="1:12" ht="15.75" customHeight="1">
      <c r="A34" s="95" t="s">
        <v>322</v>
      </c>
      <c r="B34" s="352" t="s">
        <v>382</v>
      </c>
      <c r="C34" s="352"/>
      <c r="D34" s="352"/>
      <c r="E34" s="352"/>
      <c r="F34" s="352"/>
      <c r="G34" s="352"/>
      <c r="H34" s="97">
        <v>0.121</v>
      </c>
      <c r="I34" s="133">
        <f>ROUND(I29*H34,2)</f>
        <v>224.76</v>
      </c>
      <c r="J34" s="130">
        <f>I34+(I34*$H$48)</f>
        <v>302.97647999999998</v>
      </c>
      <c r="K34" s="112" t="s">
        <v>383</v>
      </c>
      <c r="L34" s="113">
        <f>H118</f>
        <v>0.05</v>
      </c>
    </row>
    <row r="35" spans="1:12" ht="15.75" customHeight="1">
      <c r="A35" s="351" t="s">
        <v>384</v>
      </c>
      <c r="B35" s="351"/>
      <c r="C35" s="351"/>
      <c r="D35" s="351"/>
      <c r="E35" s="351"/>
      <c r="F35" s="351"/>
      <c r="G35" s="351"/>
      <c r="H35" s="98">
        <f>SUM(H33:H34)</f>
        <v>0.20430000000000001</v>
      </c>
      <c r="I35" s="129">
        <f>SUM(I33:I34)</f>
        <v>379.49</v>
      </c>
      <c r="J35" s="134"/>
      <c r="K35" s="119" t="s">
        <v>351</v>
      </c>
      <c r="L35" s="120">
        <f>L17</f>
        <v>5121.0730000000003</v>
      </c>
    </row>
    <row r="36" spans="1:12" ht="15.75" customHeight="1">
      <c r="A36" s="369" t="s">
        <v>385</v>
      </c>
      <c r="B36" s="369"/>
      <c r="C36" s="369"/>
      <c r="D36" s="369"/>
      <c r="E36" s="369"/>
      <c r="F36" s="369"/>
      <c r="G36" s="358" t="s">
        <v>386</v>
      </c>
      <c r="H36" s="358"/>
      <c r="I36" s="135">
        <f>I29</f>
        <v>1857.56</v>
      </c>
      <c r="J36" s="136"/>
      <c r="K36" s="121" t="s">
        <v>357</v>
      </c>
      <c r="L36" s="122">
        <f>L35*L34</f>
        <v>256.05365</v>
      </c>
    </row>
    <row r="37" spans="1:12" ht="15.75" customHeight="1">
      <c r="A37" s="369"/>
      <c r="B37" s="369"/>
      <c r="C37" s="369"/>
      <c r="D37" s="369"/>
      <c r="E37" s="369"/>
      <c r="F37" s="369"/>
      <c r="G37" s="358" t="s">
        <v>387</v>
      </c>
      <c r="H37" s="358"/>
      <c r="I37" s="135">
        <f>I35</f>
        <v>379.49</v>
      </c>
      <c r="J37" s="137"/>
      <c r="K37" s="138" t="s">
        <v>388</v>
      </c>
      <c r="L37" s="139">
        <f>L19+L24+L27+L30+L33+L36</f>
        <v>969.50830120000001</v>
      </c>
    </row>
    <row r="38" spans="1:12" ht="15.75" customHeight="1">
      <c r="A38" s="369"/>
      <c r="B38" s="369"/>
      <c r="C38" s="369"/>
      <c r="D38" s="369"/>
      <c r="E38" s="369"/>
      <c r="F38" s="369"/>
      <c r="G38" s="359" t="s">
        <v>389</v>
      </c>
      <c r="H38" s="359"/>
      <c r="I38" s="140">
        <f>SUM(I36:I37)</f>
        <v>2237.0500000000002</v>
      </c>
      <c r="J38" s="136"/>
      <c r="K38" s="141"/>
      <c r="L38" s="141"/>
    </row>
    <row r="39" spans="1:12" ht="15.75" customHeight="1">
      <c r="A39" s="351" t="s">
        <v>390</v>
      </c>
      <c r="B39" s="351"/>
      <c r="C39" s="351"/>
      <c r="D39" s="351"/>
      <c r="E39" s="351"/>
      <c r="F39" s="351"/>
      <c r="G39" s="351"/>
      <c r="H39" s="96" t="s">
        <v>362</v>
      </c>
      <c r="I39" s="96" t="s">
        <v>363</v>
      </c>
      <c r="J39" s="136"/>
      <c r="K39" s="142" t="s">
        <v>391</v>
      </c>
      <c r="L39" s="143"/>
    </row>
    <row r="40" spans="1:12" ht="15.75" customHeight="1">
      <c r="A40" s="95" t="s">
        <v>319</v>
      </c>
      <c r="B40" s="352" t="s">
        <v>392</v>
      </c>
      <c r="C40" s="352"/>
      <c r="D40" s="352"/>
      <c r="E40" s="352"/>
      <c r="F40" s="352"/>
      <c r="G40" s="352"/>
      <c r="H40" s="97">
        <v>0.2</v>
      </c>
      <c r="I40" s="133">
        <f t="shared" ref="I40:I47" si="0">ROUND($I$38*H40,2)</f>
        <v>447.41</v>
      </c>
      <c r="J40" s="144" t="s">
        <v>393</v>
      </c>
      <c r="K40" s="145" t="s">
        <v>394</v>
      </c>
      <c r="L40" s="146"/>
    </row>
    <row r="41" spans="1:12" ht="15.75" customHeight="1">
      <c r="A41" s="95" t="s">
        <v>322</v>
      </c>
      <c r="B41" s="352" t="s">
        <v>395</v>
      </c>
      <c r="C41" s="352"/>
      <c r="D41" s="352"/>
      <c r="E41" s="352"/>
      <c r="F41" s="352"/>
      <c r="G41" s="352"/>
      <c r="H41" s="97">
        <v>2.5000000000000001E-2</v>
      </c>
      <c r="I41" s="133">
        <f t="shared" si="0"/>
        <v>55.93</v>
      </c>
      <c r="J41" s="130">
        <f>$I$29*H41</f>
        <v>46.439</v>
      </c>
      <c r="K41" s="147" t="s">
        <v>394</v>
      </c>
      <c r="L41" s="148">
        <f>L8+L37</f>
        <v>4269.5921011999999</v>
      </c>
    </row>
    <row r="42" spans="1:12" ht="15.75" customHeight="1">
      <c r="A42" s="95" t="s">
        <v>326</v>
      </c>
      <c r="B42" s="352" t="s">
        <v>396</v>
      </c>
      <c r="C42" s="352"/>
      <c r="D42" s="352"/>
      <c r="E42" s="352"/>
      <c r="F42" s="352"/>
      <c r="G42" s="352"/>
      <c r="H42" s="402">
        <v>0.01</v>
      </c>
      <c r="I42" s="133">
        <f t="shared" si="0"/>
        <v>22.37</v>
      </c>
      <c r="J42" s="144" t="s">
        <v>393</v>
      </c>
      <c r="K42" s="109"/>
      <c r="L42" s="149"/>
    </row>
    <row r="43" spans="1:12" ht="15.75" customHeight="1">
      <c r="A43" s="95" t="s">
        <v>330</v>
      </c>
      <c r="B43" s="352" t="s">
        <v>397</v>
      </c>
      <c r="C43" s="352"/>
      <c r="D43" s="352"/>
      <c r="E43" s="352"/>
      <c r="F43" s="352"/>
      <c r="G43" s="352"/>
      <c r="H43" s="97">
        <v>1.4999999999999999E-2</v>
      </c>
      <c r="I43" s="133">
        <f t="shared" si="0"/>
        <v>33.56</v>
      </c>
      <c r="J43" s="130">
        <f t="shared" ref="J43:J47" si="1">$I$29*H43</f>
        <v>27.863399999999999</v>
      </c>
      <c r="K43" s="109"/>
      <c r="L43" s="149"/>
    </row>
    <row r="44" spans="1:12" ht="15.75" customHeight="1">
      <c r="A44" s="95" t="s">
        <v>372</v>
      </c>
      <c r="B44" s="352" t="s">
        <v>398</v>
      </c>
      <c r="C44" s="352"/>
      <c r="D44" s="352"/>
      <c r="E44" s="352"/>
      <c r="F44" s="352"/>
      <c r="G44" s="352"/>
      <c r="H44" s="97">
        <v>0.01</v>
      </c>
      <c r="I44" s="133">
        <f t="shared" si="0"/>
        <v>22.37</v>
      </c>
      <c r="J44" s="130">
        <f t="shared" si="1"/>
        <v>18.575600000000001</v>
      </c>
      <c r="K44" s="109"/>
      <c r="L44" s="149"/>
    </row>
    <row r="45" spans="1:12" ht="15.75" customHeight="1">
      <c r="A45" s="95" t="s">
        <v>374</v>
      </c>
      <c r="B45" s="352" t="s">
        <v>399</v>
      </c>
      <c r="C45" s="352"/>
      <c r="D45" s="352"/>
      <c r="E45" s="352"/>
      <c r="F45" s="352"/>
      <c r="G45" s="352"/>
      <c r="H45" s="97">
        <v>6.0000000000000001E-3</v>
      </c>
      <c r="I45" s="133">
        <f t="shared" si="0"/>
        <v>13.42</v>
      </c>
      <c r="J45" s="130">
        <f t="shared" si="1"/>
        <v>11.14536</v>
      </c>
      <c r="K45" s="109"/>
      <c r="L45" s="149"/>
    </row>
    <row r="46" spans="1:12" ht="15.75" customHeight="1">
      <c r="A46" s="95" t="s">
        <v>400</v>
      </c>
      <c r="B46" s="352" t="s">
        <v>401</v>
      </c>
      <c r="C46" s="352"/>
      <c r="D46" s="352"/>
      <c r="E46" s="352"/>
      <c r="F46" s="352"/>
      <c r="G46" s="352"/>
      <c r="H46" s="97">
        <v>2E-3</v>
      </c>
      <c r="I46" s="133">
        <f t="shared" si="0"/>
        <v>4.47</v>
      </c>
      <c r="J46" s="130">
        <f t="shared" si="1"/>
        <v>3.7151200000000002</v>
      </c>
      <c r="K46" s="109"/>
      <c r="L46" s="149"/>
    </row>
    <row r="47" spans="1:12" ht="15.75" customHeight="1">
      <c r="A47" s="95" t="s">
        <v>402</v>
      </c>
      <c r="B47" s="352" t="s">
        <v>403</v>
      </c>
      <c r="C47" s="352"/>
      <c r="D47" s="352"/>
      <c r="E47" s="352"/>
      <c r="F47" s="352"/>
      <c r="G47" s="352"/>
      <c r="H47" s="97">
        <v>0.08</v>
      </c>
      <c r="I47" s="133">
        <f t="shared" si="0"/>
        <v>178.96</v>
      </c>
      <c r="J47" s="130">
        <f t="shared" si="1"/>
        <v>148.60480000000001</v>
      </c>
      <c r="K47" s="360" t="s">
        <v>404</v>
      </c>
      <c r="L47" s="360"/>
    </row>
    <row r="48" spans="1:12" ht="15.75" customHeight="1">
      <c r="A48" s="351" t="s">
        <v>405</v>
      </c>
      <c r="B48" s="351"/>
      <c r="C48" s="351"/>
      <c r="D48" s="351"/>
      <c r="E48" s="351"/>
      <c r="F48" s="351"/>
      <c r="G48" s="351"/>
      <c r="H48" s="98">
        <f>SUM(H40:H47)</f>
        <v>0.34800000000000003</v>
      </c>
      <c r="I48" s="129">
        <f>SUM(I40:I47)</f>
        <v>778.49</v>
      </c>
      <c r="J48" s="137"/>
      <c r="K48" s="361" t="s">
        <v>406</v>
      </c>
      <c r="L48" s="361"/>
    </row>
    <row r="49" spans="1:12" ht="15.75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137"/>
      <c r="K49" s="150" t="s">
        <v>407</v>
      </c>
      <c r="L49" s="151">
        <v>1</v>
      </c>
    </row>
    <row r="50" spans="1:12" ht="15.75" customHeight="1">
      <c r="A50" s="351" t="s">
        <v>408</v>
      </c>
      <c r="B50" s="351"/>
      <c r="C50" s="351"/>
      <c r="D50" s="351"/>
      <c r="E50" s="351"/>
      <c r="F50" s="351"/>
      <c r="G50" s="351"/>
      <c r="H50" s="98"/>
      <c r="I50" s="96" t="s">
        <v>363</v>
      </c>
      <c r="J50" s="137"/>
      <c r="K50" s="367" t="s">
        <v>409</v>
      </c>
      <c r="L50" s="368">
        <f>L41</f>
        <v>4269.5921011999999</v>
      </c>
    </row>
    <row r="51" spans="1:12" ht="15.75" customHeight="1">
      <c r="A51" s="95" t="s">
        <v>319</v>
      </c>
      <c r="B51" s="357" t="s">
        <v>410</v>
      </c>
      <c r="C51" s="357"/>
      <c r="D51" s="357"/>
      <c r="E51" s="357"/>
      <c r="F51" s="357"/>
      <c r="G51" s="357"/>
      <c r="H51" s="99" t="s">
        <v>303</v>
      </c>
      <c r="I51" s="128">
        <v>0</v>
      </c>
      <c r="J51" s="130">
        <f t="shared" ref="J51:J54" si="2">I51</f>
        <v>0</v>
      </c>
      <c r="K51" s="367"/>
      <c r="L51" s="368"/>
    </row>
    <row r="52" spans="1:12" ht="15.75" customHeight="1">
      <c r="A52" s="95" t="s">
        <v>322</v>
      </c>
      <c r="B52" s="357" t="s">
        <v>411</v>
      </c>
      <c r="C52" s="357"/>
      <c r="D52" s="357"/>
      <c r="E52" s="357"/>
      <c r="F52" s="357"/>
      <c r="G52" s="357"/>
      <c r="H52" s="63" t="s">
        <v>303</v>
      </c>
      <c r="I52" s="128">
        <v>473.82</v>
      </c>
      <c r="J52" s="130">
        <f t="shared" si="2"/>
        <v>473.82</v>
      </c>
      <c r="K52" s="367"/>
      <c r="L52" s="368"/>
    </row>
    <row r="53" spans="1:12" ht="15.75" customHeight="1">
      <c r="A53" s="95" t="s">
        <v>326</v>
      </c>
      <c r="B53" s="357" t="s">
        <v>412</v>
      </c>
      <c r="C53" s="357"/>
      <c r="D53" s="357"/>
      <c r="E53" s="357"/>
      <c r="F53" s="357"/>
      <c r="G53" s="357"/>
      <c r="H53" s="63" t="s">
        <v>303</v>
      </c>
      <c r="I53" s="128">
        <f>(52.15+78.22)*0.4</f>
        <v>52.148000000000003</v>
      </c>
      <c r="J53" s="130">
        <f t="shared" si="2"/>
        <v>52.148000000000003</v>
      </c>
      <c r="K53" s="153" t="s">
        <v>413</v>
      </c>
      <c r="L53" s="152">
        <f>I139</f>
        <v>5121.0730000000003</v>
      </c>
    </row>
    <row r="54" spans="1:12" ht="15.75" customHeight="1">
      <c r="A54" s="95" t="s">
        <v>330</v>
      </c>
      <c r="B54" s="357" t="s">
        <v>414</v>
      </c>
      <c r="C54" s="357"/>
      <c r="D54" s="357"/>
      <c r="E54" s="357"/>
      <c r="F54" s="357"/>
      <c r="G54" s="357"/>
      <c r="H54" s="63" t="s">
        <v>303</v>
      </c>
      <c r="I54" s="128">
        <f>ROUND((I23*26)*0.002/12,2)</f>
        <v>6.73</v>
      </c>
      <c r="J54" s="130">
        <f t="shared" si="2"/>
        <v>6.73</v>
      </c>
      <c r="K54" s="154" t="s">
        <v>415</v>
      </c>
      <c r="L54" s="155">
        <f>L41</f>
        <v>4269.5921011999999</v>
      </c>
    </row>
    <row r="55" spans="1:12" ht="15.75" customHeight="1">
      <c r="A55" s="351" t="s">
        <v>416</v>
      </c>
      <c r="B55" s="351"/>
      <c r="C55" s="351"/>
      <c r="D55" s="351"/>
      <c r="E55" s="351"/>
      <c r="F55" s="351"/>
      <c r="G55" s="351"/>
      <c r="H55" s="351"/>
      <c r="I55" s="129">
        <f>SUM(I51:I54)</f>
        <v>532.69799999999998</v>
      </c>
      <c r="J55" s="134"/>
      <c r="K55" s="156" t="s">
        <v>417</v>
      </c>
      <c r="L55" s="157">
        <f>L53-L54</f>
        <v>851.48089880000043</v>
      </c>
    </row>
    <row r="56" spans="1:12" ht="15.75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134"/>
      <c r="K56" s="158" t="s">
        <v>418</v>
      </c>
      <c r="L56" s="159">
        <f>SUM(I68:I71,I96,I104,I113)</f>
        <v>939.495</v>
      </c>
    </row>
    <row r="57" spans="1:12" ht="15.75" customHeight="1">
      <c r="A57" s="351" t="s">
        <v>419</v>
      </c>
      <c r="B57" s="351"/>
      <c r="C57" s="351"/>
      <c r="D57" s="351"/>
      <c r="E57" s="351"/>
      <c r="F57" s="351"/>
      <c r="G57" s="351"/>
      <c r="H57" s="351"/>
      <c r="I57" s="351"/>
      <c r="J57" s="134"/>
      <c r="K57" s="158" t="s">
        <v>420</v>
      </c>
      <c r="L57" s="160">
        <f>L55-L56</f>
        <v>-88.014101199999573</v>
      </c>
    </row>
    <row r="58" spans="1:12" ht="15.75" customHeight="1">
      <c r="A58" s="351" t="s">
        <v>421</v>
      </c>
      <c r="B58" s="351"/>
      <c r="C58" s="351"/>
      <c r="D58" s="351"/>
      <c r="E58" s="351"/>
      <c r="F58" s="351"/>
      <c r="G58" s="351"/>
      <c r="H58" s="351"/>
      <c r="I58" s="96" t="s">
        <v>363</v>
      </c>
      <c r="J58" s="134"/>
      <c r="K58" s="161" t="s">
        <v>422</v>
      </c>
      <c r="L58" s="162">
        <f>ROUND(L57*L49,2)</f>
        <v>-88.01</v>
      </c>
    </row>
    <row r="59" spans="1:12" ht="15.75" customHeight="1">
      <c r="A59" s="95" t="s">
        <v>215</v>
      </c>
      <c r="B59" s="352" t="s">
        <v>423</v>
      </c>
      <c r="C59" s="352"/>
      <c r="D59" s="352"/>
      <c r="E59" s="352"/>
      <c r="F59" s="352"/>
      <c r="G59" s="352"/>
      <c r="H59" s="352"/>
      <c r="I59" s="133">
        <f>I35</f>
        <v>379.49</v>
      </c>
      <c r="J59" s="134"/>
      <c r="K59" s="161" t="s">
        <v>424</v>
      </c>
      <c r="L59" s="162">
        <f>ROUND((L57*12)*L49,2)</f>
        <v>-1056.17</v>
      </c>
    </row>
    <row r="60" spans="1:12" ht="15.75" customHeight="1">
      <c r="A60" s="95" t="s">
        <v>245</v>
      </c>
      <c r="B60" s="352" t="s">
        <v>425</v>
      </c>
      <c r="C60" s="352"/>
      <c r="D60" s="352"/>
      <c r="E60" s="352"/>
      <c r="F60" s="352"/>
      <c r="G60" s="352"/>
      <c r="H60" s="352"/>
      <c r="I60" s="133">
        <f>I48</f>
        <v>778.49</v>
      </c>
      <c r="J60" s="134"/>
      <c r="K60" s="372" t="s">
        <v>426</v>
      </c>
      <c r="L60" s="372"/>
    </row>
    <row r="61" spans="1:12" ht="15.75" customHeight="1">
      <c r="A61" s="95" t="s">
        <v>257</v>
      </c>
      <c r="B61" s="352" t="s">
        <v>427</v>
      </c>
      <c r="C61" s="352"/>
      <c r="D61" s="352"/>
      <c r="E61" s="352"/>
      <c r="F61" s="352"/>
      <c r="G61" s="352"/>
      <c r="H61" s="352"/>
      <c r="I61" s="133">
        <f>I55</f>
        <v>532.69799999999998</v>
      </c>
      <c r="J61" s="134"/>
      <c r="K61" s="372"/>
      <c r="L61" s="372"/>
    </row>
    <row r="62" spans="1:12" ht="15.75" customHeight="1">
      <c r="A62" s="351" t="s">
        <v>428</v>
      </c>
      <c r="B62" s="351"/>
      <c r="C62" s="351"/>
      <c r="D62" s="351"/>
      <c r="E62" s="351"/>
      <c r="F62" s="351"/>
      <c r="G62" s="351"/>
      <c r="H62" s="351"/>
      <c r="I62" s="129">
        <f>SUM(I59:I61)</f>
        <v>1690.6779999999999</v>
      </c>
      <c r="J62" s="134"/>
      <c r="K62" s="372"/>
      <c r="L62" s="372"/>
    </row>
    <row r="63" spans="1:12" ht="15.75" customHeight="1">
      <c r="A63" s="370" t="s">
        <v>429</v>
      </c>
      <c r="B63" s="370"/>
      <c r="C63" s="370"/>
      <c r="D63" s="370"/>
      <c r="E63" s="370"/>
      <c r="F63" s="370"/>
      <c r="G63" s="358" t="s">
        <v>386</v>
      </c>
      <c r="H63" s="358"/>
      <c r="I63" s="135">
        <f>I29</f>
        <v>1857.56</v>
      </c>
      <c r="J63" s="134"/>
      <c r="K63" s="372"/>
      <c r="L63" s="372"/>
    </row>
    <row r="64" spans="1:12" ht="15.75" customHeight="1">
      <c r="A64" s="370"/>
      <c r="B64" s="370"/>
      <c r="C64" s="370"/>
      <c r="D64" s="370"/>
      <c r="E64" s="370"/>
      <c r="F64" s="370"/>
      <c r="G64" s="358" t="s">
        <v>430</v>
      </c>
      <c r="H64" s="358"/>
      <c r="I64" s="135">
        <f>I62</f>
        <v>1690.6779999999999</v>
      </c>
      <c r="J64" s="134"/>
      <c r="K64" s="372"/>
      <c r="L64" s="372"/>
    </row>
    <row r="65" spans="1:12" ht="15.75" customHeight="1">
      <c r="A65" s="370"/>
      <c r="B65" s="370"/>
      <c r="C65" s="370"/>
      <c r="D65" s="370"/>
      <c r="E65" s="370"/>
      <c r="F65" s="370"/>
      <c r="G65" s="359" t="s">
        <v>389</v>
      </c>
      <c r="H65" s="359"/>
      <c r="I65" s="140">
        <f>SUM(I63:I64)</f>
        <v>3548.2379999999998</v>
      </c>
      <c r="J65" s="134"/>
      <c r="K65" s="372"/>
      <c r="L65" s="372"/>
    </row>
    <row r="66" spans="1:12" ht="27.75" customHeight="1">
      <c r="A66" s="351" t="s">
        <v>431</v>
      </c>
      <c r="B66" s="351"/>
      <c r="C66" s="351"/>
      <c r="D66" s="351"/>
      <c r="E66" s="351"/>
      <c r="F66" s="351"/>
      <c r="G66" s="351"/>
      <c r="H66" s="351"/>
      <c r="I66" s="351"/>
      <c r="J66" s="134"/>
      <c r="K66" s="372"/>
      <c r="L66" s="372"/>
    </row>
    <row r="67" spans="1:12" ht="15.75" customHeight="1">
      <c r="A67" s="95">
        <v>3</v>
      </c>
      <c r="B67" s="351" t="s">
        <v>432</v>
      </c>
      <c r="C67" s="351"/>
      <c r="D67" s="351"/>
      <c r="E67" s="351"/>
      <c r="F67" s="351"/>
      <c r="G67" s="351"/>
      <c r="H67" s="96" t="s">
        <v>362</v>
      </c>
      <c r="I67" s="96" t="s">
        <v>363</v>
      </c>
      <c r="J67" s="134"/>
      <c r="K67" s="372"/>
      <c r="L67" s="372"/>
    </row>
    <row r="68" spans="1:12" ht="15.75" customHeight="1">
      <c r="A68" s="95" t="s">
        <v>319</v>
      </c>
      <c r="B68" s="352" t="s">
        <v>433</v>
      </c>
      <c r="C68" s="352"/>
      <c r="D68" s="352"/>
      <c r="E68" s="352"/>
      <c r="F68" s="352"/>
      <c r="G68" s="352"/>
      <c r="H68" s="97">
        <f>ROUND(((1/12)*5%),4)</f>
        <v>4.1999999999999997E-3</v>
      </c>
      <c r="I68" s="133">
        <f>ROUND(H68*$I$65,2)</f>
        <v>14.9</v>
      </c>
      <c r="J68" s="134"/>
      <c r="K68" s="372"/>
      <c r="L68" s="372"/>
    </row>
    <row r="69" spans="1:12" ht="15.75" customHeight="1">
      <c r="A69" s="95" t="s">
        <v>322</v>
      </c>
      <c r="B69" s="352" t="s">
        <v>434</v>
      </c>
      <c r="C69" s="352"/>
      <c r="D69" s="352"/>
      <c r="E69" s="352"/>
      <c r="F69" s="352"/>
      <c r="G69" s="352"/>
      <c r="H69" s="97">
        <f>TRUNC(H68*H47,4)</f>
        <v>2.9999999999999997E-4</v>
      </c>
      <c r="I69" s="133">
        <f>ROUND(H69*$I$65,2)</f>
        <v>1.06</v>
      </c>
      <c r="J69" s="134"/>
      <c r="K69" s="372"/>
      <c r="L69" s="372"/>
    </row>
    <row r="70" spans="1:12" ht="15.75" customHeight="1">
      <c r="A70" s="95" t="s">
        <v>326</v>
      </c>
      <c r="B70" s="352" t="s">
        <v>435</v>
      </c>
      <c r="C70" s="352"/>
      <c r="D70" s="352"/>
      <c r="E70" s="352"/>
      <c r="F70" s="352"/>
      <c r="G70" s="352"/>
      <c r="H70" s="97">
        <f>ROUND(((7/30)/12)*95%,4)</f>
        <v>1.8499999999999999E-2</v>
      </c>
      <c r="I70" s="133">
        <f>ROUND(H70*$I$65,2)</f>
        <v>65.64</v>
      </c>
      <c r="J70" s="134"/>
      <c r="K70" s="109"/>
      <c r="L70" s="109"/>
    </row>
    <row r="71" spans="1:12" ht="15.75" customHeight="1">
      <c r="A71" s="95" t="s">
        <v>330</v>
      </c>
      <c r="B71" s="363" t="s">
        <v>436</v>
      </c>
      <c r="C71" s="363"/>
      <c r="D71" s="363"/>
      <c r="E71" s="363"/>
      <c r="F71" s="363"/>
      <c r="G71" s="363"/>
      <c r="H71" s="97">
        <f>ROUND(H70*H48,4)</f>
        <v>6.4000000000000003E-3</v>
      </c>
      <c r="I71" s="133">
        <f>ROUND(H71*$I$65,2)</f>
        <v>22.71</v>
      </c>
      <c r="J71" s="134"/>
      <c r="K71" s="109"/>
      <c r="L71" s="109"/>
    </row>
    <row r="72" spans="1:12" ht="15.75" customHeight="1">
      <c r="A72" s="95" t="s">
        <v>372</v>
      </c>
      <c r="B72" s="352" t="s">
        <v>437</v>
      </c>
      <c r="C72" s="352"/>
      <c r="D72" s="352"/>
      <c r="E72" s="352"/>
      <c r="F72" s="352"/>
      <c r="G72" s="352"/>
      <c r="H72" s="97">
        <v>0.04</v>
      </c>
      <c r="I72" s="133">
        <f>ROUND(H72*$I$65,2)</f>
        <v>141.93</v>
      </c>
      <c r="J72" s="130">
        <f>I72</f>
        <v>141.93</v>
      </c>
      <c r="K72" s="109"/>
      <c r="L72" s="109"/>
    </row>
    <row r="73" spans="1:12" ht="15.75" customHeight="1">
      <c r="A73" s="351" t="s">
        <v>438</v>
      </c>
      <c r="B73" s="351"/>
      <c r="C73" s="351"/>
      <c r="D73" s="351"/>
      <c r="E73" s="351"/>
      <c r="F73" s="351"/>
      <c r="G73" s="351"/>
      <c r="H73" s="98">
        <f>SUM(H68:H72)</f>
        <v>6.9400000000000003E-2</v>
      </c>
      <c r="I73" s="129">
        <f>SUM(I68:I72)</f>
        <v>246.24</v>
      </c>
      <c r="J73" s="134"/>
      <c r="K73" s="179"/>
      <c r="L73" s="109"/>
    </row>
    <row r="74" spans="1:12" ht="15.75" customHeight="1">
      <c r="A74" s="371" t="s">
        <v>439</v>
      </c>
      <c r="B74" s="371"/>
      <c r="C74" s="371"/>
      <c r="D74" s="371"/>
      <c r="E74" s="371"/>
      <c r="F74" s="371"/>
      <c r="G74" s="358" t="s">
        <v>386</v>
      </c>
      <c r="H74" s="358"/>
      <c r="I74" s="135">
        <f>I29</f>
        <v>1857.56</v>
      </c>
      <c r="J74" s="134"/>
      <c r="K74" s="179"/>
      <c r="L74" s="109"/>
    </row>
    <row r="75" spans="1:12" ht="15.75" customHeight="1">
      <c r="A75" s="371"/>
      <c r="B75" s="371"/>
      <c r="C75" s="371"/>
      <c r="D75" s="371"/>
      <c r="E75" s="371"/>
      <c r="F75" s="371"/>
      <c r="G75" s="358" t="s">
        <v>430</v>
      </c>
      <c r="H75" s="358"/>
      <c r="I75" s="135">
        <f>I62</f>
        <v>1690.6779999999999</v>
      </c>
      <c r="J75" s="134"/>
      <c r="K75" s="179"/>
      <c r="L75" s="109"/>
    </row>
    <row r="76" spans="1:12" ht="15.75" customHeight="1">
      <c r="A76" s="371"/>
      <c r="B76" s="371"/>
      <c r="C76" s="371"/>
      <c r="D76" s="371"/>
      <c r="E76" s="371"/>
      <c r="F76" s="371"/>
      <c r="G76" s="358" t="s">
        <v>440</v>
      </c>
      <c r="H76" s="358"/>
      <c r="I76" s="135">
        <f>I73</f>
        <v>246.24</v>
      </c>
      <c r="J76" s="134"/>
      <c r="K76" s="179"/>
      <c r="L76" s="109"/>
    </row>
    <row r="77" spans="1:12" ht="15.75" customHeight="1">
      <c r="A77" s="371"/>
      <c r="B77" s="371"/>
      <c r="C77" s="371"/>
      <c r="D77" s="371"/>
      <c r="E77" s="371"/>
      <c r="F77" s="371"/>
      <c r="G77" s="359" t="s">
        <v>389</v>
      </c>
      <c r="H77" s="359"/>
      <c r="I77" s="140">
        <f>SUM(I74:I76)</f>
        <v>3794.4780000000001</v>
      </c>
      <c r="J77" s="134"/>
      <c r="K77" s="179"/>
      <c r="L77" s="109"/>
    </row>
    <row r="78" spans="1:12" ht="15.75" customHeight="1">
      <c r="A78" s="351" t="s">
        <v>441</v>
      </c>
      <c r="B78" s="351"/>
      <c r="C78" s="351"/>
      <c r="D78" s="351"/>
      <c r="E78" s="351"/>
      <c r="F78" s="351"/>
      <c r="G78" s="351"/>
      <c r="H78" s="351"/>
      <c r="I78" s="351"/>
      <c r="J78" s="131"/>
      <c r="K78" s="179"/>
      <c r="L78" s="109"/>
    </row>
    <row r="79" spans="1:12" ht="15.75" customHeight="1">
      <c r="A79" s="351" t="s">
        <v>442</v>
      </c>
      <c r="B79" s="351"/>
      <c r="C79" s="351"/>
      <c r="D79" s="351"/>
      <c r="E79" s="351"/>
      <c r="F79" s="351"/>
      <c r="G79" s="351"/>
      <c r="H79" s="96" t="s">
        <v>362</v>
      </c>
      <c r="I79" s="96" t="s">
        <v>363</v>
      </c>
      <c r="J79" s="134"/>
      <c r="K79" s="179"/>
      <c r="L79" s="180"/>
    </row>
    <row r="80" spans="1:12" ht="15.75" customHeight="1">
      <c r="A80" s="95" t="s">
        <v>319</v>
      </c>
      <c r="B80" s="352" t="s">
        <v>443</v>
      </c>
      <c r="C80" s="352"/>
      <c r="D80" s="352"/>
      <c r="E80" s="352"/>
      <c r="F80" s="352"/>
      <c r="G80" s="352"/>
      <c r="H80" s="97">
        <f>ROUND(((1+1/3)/12)/12,4)</f>
        <v>9.2999999999999992E-3</v>
      </c>
      <c r="I80" s="133">
        <f t="shared" ref="I80:I85" si="3">ROUND(H80*$I$77,2)</f>
        <v>35.29</v>
      </c>
      <c r="J80" s="134"/>
      <c r="K80" s="179"/>
      <c r="L80" s="109"/>
    </row>
    <row r="81" spans="1:12" ht="15.75" customHeight="1">
      <c r="A81" s="95" t="s">
        <v>322</v>
      </c>
      <c r="B81" s="352" t="s">
        <v>444</v>
      </c>
      <c r="C81" s="352"/>
      <c r="D81" s="352"/>
      <c r="E81" s="352"/>
      <c r="F81" s="352"/>
      <c r="G81" s="352"/>
      <c r="H81" s="97">
        <f>ROUND(2/30/12,4)</f>
        <v>5.5999999999999999E-3</v>
      </c>
      <c r="I81" s="133">
        <f t="shared" si="3"/>
        <v>21.25</v>
      </c>
      <c r="J81" s="134"/>
      <c r="K81" s="109"/>
      <c r="L81" s="109"/>
    </row>
    <row r="82" spans="1:12" ht="15.75" customHeight="1">
      <c r="A82" s="95" t="s">
        <v>326</v>
      </c>
      <c r="B82" s="352" t="s">
        <v>445</v>
      </c>
      <c r="C82" s="352"/>
      <c r="D82" s="352"/>
      <c r="E82" s="352"/>
      <c r="F82" s="352"/>
      <c r="G82" s="352"/>
      <c r="H82" s="97">
        <f>ROUND(((5/30)/12)*2%,4)</f>
        <v>2.9999999999999997E-4</v>
      </c>
      <c r="I82" s="133">
        <f t="shared" si="3"/>
        <v>1.1399999999999999</v>
      </c>
      <c r="J82" s="134"/>
      <c r="K82" s="109"/>
      <c r="L82" s="109"/>
    </row>
    <row r="83" spans="1:12" ht="15.75" customHeight="1">
      <c r="A83" s="95" t="s">
        <v>330</v>
      </c>
      <c r="B83" s="352" t="s">
        <v>446</v>
      </c>
      <c r="C83" s="352"/>
      <c r="D83" s="352"/>
      <c r="E83" s="352"/>
      <c r="F83" s="352"/>
      <c r="G83" s="352"/>
      <c r="H83" s="97">
        <f>ROUND(((15/30)/12)*8%,4)</f>
        <v>3.3E-3</v>
      </c>
      <c r="I83" s="133">
        <f t="shared" si="3"/>
        <v>12.52</v>
      </c>
      <c r="J83" s="134"/>
      <c r="K83" s="109"/>
      <c r="L83" s="109"/>
    </row>
    <row r="84" spans="1:12" ht="15.75" customHeight="1">
      <c r="A84" s="95" t="s">
        <v>372</v>
      </c>
      <c r="B84" s="352" t="s">
        <v>447</v>
      </c>
      <c r="C84" s="352"/>
      <c r="D84" s="352"/>
      <c r="E84" s="352"/>
      <c r="F84" s="352"/>
      <c r="G84" s="352"/>
      <c r="H84" s="97">
        <f>ROUND(((1+1/3)/12*4/12)*2%,4)</f>
        <v>6.9999999999999999E-4</v>
      </c>
      <c r="I84" s="133">
        <f t="shared" si="3"/>
        <v>2.66</v>
      </c>
      <c r="J84" s="134"/>
      <c r="K84" s="109"/>
      <c r="L84" s="109"/>
    </row>
    <row r="85" spans="1:12" ht="15.75" customHeight="1">
      <c r="A85" s="95" t="s">
        <v>374</v>
      </c>
      <c r="B85" s="352" t="s">
        <v>448</v>
      </c>
      <c r="C85" s="352"/>
      <c r="D85" s="352"/>
      <c r="E85" s="352"/>
      <c r="F85" s="352"/>
      <c r="G85" s="352"/>
      <c r="H85" s="97">
        <v>0</v>
      </c>
      <c r="I85" s="133">
        <f t="shared" si="3"/>
        <v>0</v>
      </c>
      <c r="J85" s="134"/>
      <c r="K85" s="109"/>
      <c r="L85" s="109"/>
    </row>
    <row r="86" spans="1:12" ht="15.75" customHeight="1">
      <c r="A86" s="351" t="s">
        <v>449</v>
      </c>
      <c r="B86" s="351"/>
      <c r="C86" s="351"/>
      <c r="D86" s="351"/>
      <c r="E86" s="351"/>
      <c r="F86" s="351"/>
      <c r="G86" s="351"/>
      <c r="H86" s="98">
        <f>SUM(H80:H85)</f>
        <v>1.9199999999999998E-2</v>
      </c>
      <c r="I86" s="129">
        <f>SUM(I80:I85)</f>
        <v>72.86</v>
      </c>
      <c r="J86" s="134"/>
      <c r="K86" s="109"/>
      <c r="L86" s="181"/>
    </row>
    <row r="87" spans="1:12" ht="15.75" customHeight="1">
      <c r="A87" s="362"/>
      <c r="B87" s="362"/>
      <c r="C87" s="362"/>
      <c r="D87" s="362"/>
      <c r="E87" s="362"/>
      <c r="F87" s="362"/>
      <c r="G87" s="362"/>
      <c r="H87" s="362"/>
      <c r="I87" s="362"/>
      <c r="J87" s="134"/>
      <c r="K87" s="182"/>
      <c r="L87" s="109"/>
    </row>
    <row r="88" spans="1:12" ht="15.75" customHeight="1">
      <c r="A88" s="351" t="s">
        <v>450</v>
      </c>
      <c r="B88" s="351"/>
      <c r="C88" s="351"/>
      <c r="D88" s="351"/>
      <c r="E88" s="351"/>
      <c r="F88" s="351"/>
      <c r="G88" s="351"/>
      <c r="H88" s="96" t="s">
        <v>362</v>
      </c>
      <c r="I88" s="96" t="s">
        <v>363</v>
      </c>
      <c r="J88" s="134"/>
      <c r="K88" s="109"/>
      <c r="L88" s="109"/>
    </row>
    <row r="89" spans="1:12" ht="15.75" customHeight="1">
      <c r="A89" s="95" t="s">
        <v>319</v>
      </c>
      <c r="B89" s="352" t="s">
        <v>451</v>
      </c>
      <c r="C89" s="352"/>
      <c r="D89" s="352"/>
      <c r="E89" s="352"/>
      <c r="F89" s="352"/>
      <c r="G89" s="352"/>
      <c r="H89" s="97">
        <v>0</v>
      </c>
      <c r="I89" s="133">
        <f>I29*H89</f>
        <v>0</v>
      </c>
      <c r="J89" s="134"/>
      <c r="K89" s="109"/>
      <c r="L89" s="109"/>
    </row>
    <row r="90" spans="1:12" ht="15.75" customHeight="1">
      <c r="A90" s="351" t="s">
        <v>452</v>
      </c>
      <c r="B90" s="351"/>
      <c r="C90" s="351"/>
      <c r="D90" s="351"/>
      <c r="E90" s="351"/>
      <c r="F90" s="351"/>
      <c r="G90" s="351"/>
      <c r="H90" s="98">
        <f>H89</f>
        <v>0</v>
      </c>
      <c r="I90" s="129">
        <f>I89</f>
        <v>0</v>
      </c>
      <c r="J90" s="134"/>
      <c r="K90" s="183"/>
      <c r="L90" s="109"/>
    </row>
    <row r="91" spans="1:12" ht="15.75" customHeight="1">
      <c r="A91" s="362"/>
      <c r="B91" s="362"/>
      <c r="C91" s="362"/>
      <c r="D91" s="362"/>
      <c r="E91" s="362"/>
      <c r="F91" s="362"/>
      <c r="G91" s="362"/>
      <c r="H91" s="362"/>
      <c r="I91" s="362"/>
      <c r="J91" s="134"/>
      <c r="K91" s="109"/>
      <c r="L91" s="109"/>
    </row>
    <row r="92" spans="1:12" ht="15.75" customHeight="1">
      <c r="A92" s="351" t="s">
        <v>453</v>
      </c>
      <c r="B92" s="351"/>
      <c r="C92" s="351"/>
      <c r="D92" s="351"/>
      <c r="E92" s="351"/>
      <c r="F92" s="351"/>
      <c r="G92" s="351"/>
      <c r="H92" s="351"/>
      <c r="I92" s="351"/>
      <c r="J92" s="134"/>
      <c r="K92" s="109"/>
      <c r="L92" s="109"/>
    </row>
    <row r="93" spans="1:12" ht="15.75" customHeight="1">
      <c r="A93" s="351" t="s">
        <v>454</v>
      </c>
      <c r="B93" s="351"/>
      <c r="C93" s="351"/>
      <c r="D93" s="351"/>
      <c r="E93" s="351"/>
      <c r="F93" s="351"/>
      <c r="G93" s="351"/>
      <c r="H93" s="351"/>
      <c r="I93" s="96" t="s">
        <v>363</v>
      </c>
      <c r="J93" s="134"/>
      <c r="K93" s="109"/>
      <c r="L93" s="109"/>
    </row>
    <row r="94" spans="1:12" ht="15.75" customHeight="1">
      <c r="A94" s="95" t="s">
        <v>455</v>
      </c>
      <c r="B94" s="352" t="s">
        <v>456</v>
      </c>
      <c r="C94" s="352"/>
      <c r="D94" s="352"/>
      <c r="E94" s="352"/>
      <c r="F94" s="352"/>
      <c r="G94" s="352"/>
      <c r="H94" s="352"/>
      <c r="I94" s="133">
        <f>I86</f>
        <v>72.86</v>
      </c>
      <c r="J94" s="134"/>
      <c r="K94" s="109"/>
      <c r="L94" s="109"/>
    </row>
    <row r="95" spans="1:12" ht="15.75" customHeight="1">
      <c r="A95" s="95" t="s">
        <v>457</v>
      </c>
      <c r="B95" s="352" t="s">
        <v>458</v>
      </c>
      <c r="C95" s="352"/>
      <c r="D95" s="352"/>
      <c r="E95" s="352"/>
      <c r="F95" s="352"/>
      <c r="G95" s="352"/>
      <c r="H95" s="352"/>
      <c r="I95" s="133">
        <f>I90</f>
        <v>0</v>
      </c>
      <c r="J95" s="134"/>
      <c r="K95" s="109"/>
      <c r="L95" s="109"/>
    </row>
    <row r="96" spans="1:12" ht="15.75" customHeight="1">
      <c r="A96" s="351" t="s">
        <v>459</v>
      </c>
      <c r="B96" s="351"/>
      <c r="C96" s="351"/>
      <c r="D96" s="351"/>
      <c r="E96" s="351"/>
      <c r="F96" s="351"/>
      <c r="G96" s="351"/>
      <c r="H96" s="351"/>
      <c r="I96" s="129">
        <f>SUM(I94:I95)</f>
        <v>72.86</v>
      </c>
      <c r="J96" s="134"/>
      <c r="K96" s="109"/>
      <c r="L96" s="109"/>
    </row>
    <row r="97" spans="1:12" ht="9.9499999999999993" customHeight="1">
      <c r="A97" s="362"/>
      <c r="B97" s="362"/>
      <c r="C97" s="362"/>
      <c r="D97" s="362"/>
      <c r="E97" s="362"/>
      <c r="F97" s="362"/>
      <c r="G97" s="362"/>
      <c r="H97" s="362"/>
      <c r="I97" s="362"/>
      <c r="J97" s="134"/>
      <c r="K97" s="109"/>
      <c r="L97" s="109"/>
    </row>
    <row r="98" spans="1:12" ht="15.75" customHeight="1">
      <c r="A98" s="351" t="s">
        <v>460</v>
      </c>
      <c r="B98" s="351"/>
      <c r="C98" s="351"/>
      <c r="D98" s="351"/>
      <c r="E98" s="351"/>
      <c r="F98" s="351"/>
      <c r="G98" s="351"/>
      <c r="H98" s="351"/>
      <c r="I98" s="351"/>
      <c r="J98" s="134"/>
      <c r="K98" s="109"/>
      <c r="L98" s="109"/>
    </row>
    <row r="99" spans="1:12" ht="15.75" customHeight="1">
      <c r="A99" s="96">
        <v>5</v>
      </c>
      <c r="B99" s="351" t="s">
        <v>461</v>
      </c>
      <c r="C99" s="351"/>
      <c r="D99" s="351"/>
      <c r="E99" s="351"/>
      <c r="F99" s="351"/>
      <c r="G99" s="351"/>
      <c r="H99" s="96"/>
      <c r="I99" s="96" t="s">
        <v>363</v>
      </c>
      <c r="J99" s="134"/>
      <c r="K99" s="109"/>
      <c r="L99" s="109"/>
    </row>
    <row r="100" spans="1:12" ht="15.75" customHeight="1">
      <c r="A100" s="163" t="s">
        <v>319</v>
      </c>
      <c r="B100" s="357" t="s">
        <v>462</v>
      </c>
      <c r="C100" s="357"/>
      <c r="D100" s="357"/>
      <c r="E100" s="357"/>
      <c r="F100" s="357"/>
      <c r="G100" s="357"/>
      <c r="H100" s="164" t="s">
        <v>303</v>
      </c>
      <c r="I100" s="403">
        <v>625.34</v>
      </c>
      <c r="J100" s="134"/>
      <c r="K100" s="109"/>
      <c r="L100" s="109"/>
    </row>
    <row r="101" spans="1:12" ht="15.75" customHeight="1">
      <c r="A101" s="163" t="s">
        <v>322</v>
      </c>
      <c r="B101" s="357" t="s">
        <v>463</v>
      </c>
      <c r="C101" s="357"/>
      <c r="D101" s="357"/>
      <c r="E101" s="357"/>
      <c r="F101" s="357"/>
      <c r="G101" s="357"/>
      <c r="H101" s="164" t="s">
        <v>303</v>
      </c>
      <c r="I101" s="133">
        <f>EPIS!F23</f>
        <v>35.575000000000003</v>
      </c>
      <c r="J101" s="134"/>
      <c r="K101" s="109"/>
      <c r="L101" s="109"/>
    </row>
    <row r="102" spans="1:12" ht="15.75" customHeight="1">
      <c r="A102" s="163" t="s">
        <v>326</v>
      </c>
      <c r="B102" s="357" t="s">
        <v>464</v>
      </c>
      <c r="C102" s="357"/>
      <c r="D102" s="357"/>
      <c r="E102" s="357"/>
      <c r="F102" s="357"/>
      <c r="G102" s="357"/>
      <c r="H102" s="164" t="s">
        <v>303</v>
      </c>
      <c r="I102" s="403">
        <v>32.08</v>
      </c>
      <c r="J102" s="134"/>
      <c r="K102" s="109"/>
      <c r="L102" s="109"/>
    </row>
    <row r="103" spans="1:12" ht="15.75" customHeight="1">
      <c r="A103" s="163" t="s">
        <v>330</v>
      </c>
      <c r="B103" s="357" t="s">
        <v>465</v>
      </c>
      <c r="C103" s="357"/>
      <c r="D103" s="357"/>
      <c r="E103" s="357"/>
      <c r="F103" s="357"/>
      <c r="G103" s="357"/>
      <c r="H103" s="165" t="s">
        <v>303</v>
      </c>
      <c r="I103" s="403">
        <v>0.91</v>
      </c>
      <c r="J103" s="134"/>
      <c r="K103" s="109"/>
      <c r="L103" s="109"/>
    </row>
    <row r="104" spans="1:12" ht="15.75" customHeight="1">
      <c r="A104" s="351" t="s">
        <v>466</v>
      </c>
      <c r="B104" s="351"/>
      <c r="C104" s="351"/>
      <c r="D104" s="351"/>
      <c r="E104" s="351"/>
      <c r="F104" s="351"/>
      <c r="G104" s="351"/>
      <c r="H104" s="98" t="s">
        <v>303</v>
      </c>
      <c r="I104" s="129">
        <f>SUM(I100:I103)</f>
        <v>693.90500000000009</v>
      </c>
      <c r="J104" s="134"/>
      <c r="K104" s="109"/>
      <c r="L104" s="109"/>
    </row>
    <row r="105" spans="1:12" ht="15.75" customHeight="1">
      <c r="A105" s="371" t="s">
        <v>467</v>
      </c>
      <c r="B105" s="371"/>
      <c r="C105" s="371"/>
      <c r="D105" s="371"/>
      <c r="E105" s="371"/>
      <c r="F105" s="371"/>
      <c r="G105" s="358" t="s">
        <v>386</v>
      </c>
      <c r="H105" s="358"/>
      <c r="I105" s="135">
        <f>I29</f>
        <v>1857.56</v>
      </c>
      <c r="J105" s="134"/>
      <c r="K105" s="109"/>
      <c r="L105" s="109"/>
    </row>
    <row r="106" spans="1:12" ht="15.75" customHeight="1">
      <c r="A106" s="371"/>
      <c r="B106" s="371"/>
      <c r="C106" s="371"/>
      <c r="D106" s="371"/>
      <c r="E106" s="371"/>
      <c r="F106" s="371"/>
      <c r="G106" s="358" t="s">
        <v>430</v>
      </c>
      <c r="H106" s="358"/>
      <c r="I106" s="135">
        <f>I62</f>
        <v>1690.6779999999999</v>
      </c>
      <c r="J106" s="134"/>
      <c r="K106" s="109"/>
      <c r="L106" s="109"/>
    </row>
    <row r="107" spans="1:12" ht="15.75" customHeight="1">
      <c r="A107" s="371"/>
      <c r="B107" s="371"/>
      <c r="C107" s="371"/>
      <c r="D107" s="371"/>
      <c r="E107" s="371"/>
      <c r="F107" s="371"/>
      <c r="G107" s="358" t="s">
        <v>440</v>
      </c>
      <c r="H107" s="358"/>
      <c r="I107" s="135">
        <f>I73</f>
        <v>246.24</v>
      </c>
      <c r="J107" s="134"/>
      <c r="K107" s="109"/>
      <c r="L107" s="109"/>
    </row>
    <row r="108" spans="1:12" ht="15.75" customHeight="1">
      <c r="A108" s="371"/>
      <c r="B108" s="371"/>
      <c r="C108" s="371"/>
      <c r="D108" s="371"/>
      <c r="E108" s="371"/>
      <c r="F108" s="371"/>
      <c r="G108" s="358" t="s">
        <v>468</v>
      </c>
      <c r="H108" s="358"/>
      <c r="I108" s="135">
        <f>I96</f>
        <v>72.86</v>
      </c>
      <c r="J108" s="134"/>
      <c r="K108" s="141"/>
      <c r="L108" s="141"/>
    </row>
    <row r="109" spans="1:12" ht="15.75" customHeight="1">
      <c r="A109" s="371"/>
      <c r="B109" s="371"/>
      <c r="C109" s="371"/>
      <c r="D109" s="371"/>
      <c r="E109" s="371"/>
      <c r="F109" s="371"/>
      <c r="G109" s="358" t="s">
        <v>469</v>
      </c>
      <c r="H109" s="358"/>
      <c r="I109" s="135">
        <f>I104</f>
        <v>693.90500000000009</v>
      </c>
      <c r="J109" s="134"/>
      <c r="K109" s="141"/>
      <c r="L109" s="141"/>
    </row>
    <row r="110" spans="1:12" ht="15.75" customHeight="1">
      <c r="A110" s="371"/>
      <c r="B110" s="371"/>
      <c r="C110" s="371"/>
      <c r="D110" s="371"/>
      <c r="E110" s="371"/>
      <c r="F110" s="371"/>
      <c r="G110" s="359" t="s">
        <v>389</v>
      </c>
      <c r="H110" s="359"/>
      <c r="I110" s="140">
        <f>SUM(I105:I109)</f>
        <v>4561.2430000000004</v>
      </c>
      <c r="J110" s="134"/>
      <c r="K110" s="109"/>
      <c r="L110" s="109"/>
    </row>
    <row r="111" spans="1:12" ht="15.75" customHeight="1">
      <c r="A111" s="351" t="s">
        <v>470</v>
      </c>
      <c r="B111" s="351"/>
      <c r="C111" s="351"/>
      <c r="D111" s="351"/>
      <c r="E111" s="351"/>
      <c r="F111" s="351"/>
      <c r="G111" s="351"/>
      <c r="H111" s="351"/>
      <c r="I111" s="351"/>
      <c r="J111" s="134"/>
      <c r="K111" s="109"/>
      <c r="L111" s="109"/>
    </row>
    <row r="112" spans="1:12" ht="15.75" customHeight="1">
      <c r="A112" s="96">
        <v>6</v>
      </c>
      <c r="B112" s="351" t="s">
        <v>471</v>
      </c>
      <c r="C112" s="351"/>
      <c r="D112" s="351"/>
      <c r="E112" s="351"/>
      <c r="F112" s="351"/>
      <c r="G112" s="351"/>
      <c r="H112" s="96" t="s">
        <v>362</v>
      </c>
      <c r="I112" s="96" t="s">
        <v>363</v>
      </c>
      <c r="J112" s="134"/>
      <c r="K112" s="109"/>
      <c r="L112" s="109"/>
    </row>
    <row r="113" spans="1:12" ht="15.75" customHeight="1">
      <c r="A113" s="95" t="s">
        <v>319</v>
      </c>
      <c r="B113" s="352" t="s">
        <v>472</v>
      </c>
      <c r="C113" s="352"/>
      <c r="D113" s="352"/>
      <c r="E113" s="352"/>
      <c r="F113" s="352"/>
      <c r="G113" s="352"/>
      <c r="H113" s="404">
        <v>1.4999999999999999E-2</v>
      </c>
      <c r="I113" s="133">
        <f>ROUND(H113*I110,2)</f>
        <v>68.42</v>
      </c>
      <c r="J113" s="134"/>
      <c r="K113" s="109"/>
      <c r="L113" s="109"/>
    </row>
    <row r="114" spans="1:12" ht="15.75" customHeight="1">
      <c r="A114" s="95" t="s">
        <v>322</v>
      </c>
      <c r="B114" s="352" t="s">
        <v>473</v>
      </c>
      <c r="C114" s="352"/>
      <c r="D114" s="352"/>
      <c r="E114" s="352"/>
      <c r="F114" s="352"/>
      <c r="G114" s="352"/>
      <c r="H114" s="404">
        <v>1.4999999999999999E-2</v>
      </c>
      <c r="I114" s="133">
        <f>ROUND(H114*(I110+I113),2)</f>
        <v>69.44</v>
      </c>
      <c r="J114" s="134"/>
      <c r="K114" s="109"/>
      <c r="L114" s="109"/>
    </row>
    <row r="115" spans="1:12" ht="15.75" customHeight="1">
      <c r="A115" s="95" t="s">
        <v>326</v>
      </c>
      <c r="B115" s="364" t="s">
        <v>474</v>
      </c>
      <c r="C115" s="364"/>
      <c r="D115" s="364"/>
      <c r="E115" s="364"/>
      <c r="F115" s="364"/>
      <c r="G115" s="364"/>
      <c r="H115" s="97"/>
      <c r="I115" s="184"/>
      <c r="J115" s="134"/>
      <c r="K115" s="109"/>
      <c r="L115" s="109"/>
    </row>
    <row r="116" spans="1:12" ht="15.75" customHeight="1">
      <c r="A116" s="95" t="s">
        <v>475</v>
      </c>
      <c r="B116" s="352" t="s">
        <v>476</v>
      </c>
      <c r="C116" s="352"/>
      <c r="D116" s="352"/>
      <c r="E116" s="352"/>
      <c r="F116" s="352"/>
      <c r="G116" s="352"/>
      <c r="H116" s="404">
        <v>5.7999999999999996E-3</v>
      </c>
      <c r="I116" s="133">
        <f>ROUND($I$126*H116,2)</f>
        <v>29.7</v>
      </c>
      <c r="J116" s="134"/>
      <c r="K116" s="109"/>
      <c r="L116" s="109"/>
    </row>
    <row r="117" spans="1:12" ht="15.75" customHeight="1">
      <c r="A117" s="95" t="s">
        <v>477</v>
      </c>
      <c r="B117" s="352" t="s">
        <v>376</v>
      </c>
      <c r="C117" s="352"/>
      <c r="D117" s="352"/>
      <c r="E117" s="352"/>
      <c r="F117" s="352"/>
      <c r="G117" s="352"/>
      <c r="H117" s="404">
        <v>2.6599999999999999E-2</v>
      </c>
      <c r="I117" s="133">
        <f>ROUND($I$126*H117,2)</f>
        <v>136.22</v>
      </c>
      <c r="J117" s="134"/>
      <c r="K117" s="109"/>
      <c r="L117" s="109"/>
    </row>
    <row r="118" spans="1:12" ht="15.75" customHeight="1">
      <c r="A118" s="95" t="s">
        <v>478</v>
      </c>
      <c r="B118" s="352" t="s">
        <v>479</v>
      </c>
      <c r="C118" s="352"/>
      <c r="D118" s="352"/>
      <c r="E118" s="352"/>
      <c r="F118" s="352"/>
      <c r="G118" s="352"/>
      <c r="H118" s="167">
        <v>0.05</v>
      </c>
      <c r="I118" s="133">
        <f>ROUND($I$126*H118,2)</f>
        <v>256.05</v>
      </c>
      <c r="J118" s="134"/>
      <c r="K118" s="109"/>
      <c r="L118" s="109"/>
    </row>
    <row r="119" spans="1:12" ht="15.75" customHeight="1">
      <c r="A119" s="351" t="s">
        <v>480</v>
      </c>
      <c r="B119" s="351"/>
      <c r="C119" s="351"/>
      <c r="D119" s="351"/>
      <c r="E119" s="351"/>
      <c r="F119" s="351"/>
      <c r="G119" s="351"/>
      <c r="H119" s="168">
        <f>SUM(H113:H118)</f>
        <v>0.1124</v>
      </c>
      <c r="I119" s="129">
        <f>SUM(I113:I118)</f>
        <v>559.82999999999993</v>
      </c>
      <c r="J119" s="134"/>
      <c r="K119" s="109"/>
      <c r="L119" s="109"/>
    </row>
    <row r="120" spans="1:12" ht="9" customHeight="1">
      <c r="A120" s="169"/>
      <c r="B120" s="170"/>
      <c r="C120" s="170"/>
      <c r="D120" s="170"/>
      <c r="E120" s="170"/>
      <c r="F120" s="170"/>
      <c r="G120" s="170"/>
      <c r="H120" s="171"/>
      <c r="I120" s="185"/>
      <c r="J120" s="134"/>
      <c r="K120" s="109"/>
      <c r="L120" s="109"/>
    </row>
    <row r="121" spans="1:12" ht="15.75" customHeight="1">
      <c r="A121" s="172" t="s">
        <v>481</v>
      </c>
      <c r="B121" s="365" t="s">
        <v>482</v>
      </c>
      <c r="C121" s="365"/>
      <c r="D121" s="365"/>
      <c r="E121" s="365"/>
      <c r="F121" s="365"/>
      <c r="G121" s="365"/>
      <c r="H121" s="174">
        <f>SUM(H116+H117+H118)</f>
        <v>8.2400000000000001E-2</v>
      </c>
      <c r="I121" s="186"/>
      <c r="J121" s="134"/>
      <c r="K121" s="109"/>
      <c r="L121" s="109"/>
    </row>
    <row r="122" spans="1:12" ht="15.75" customHeight="1">
      <c r="A122" s="172"/>
      <c r="B122" s="365">
        <v>100</v>
      </c>
      <c r="C122" s="365"/>
      <c r="D122" s="365"/>
      <c r="E122" s="365"/>
      <c r="F122" s="365"/>
      <c r="G122" s="365"/>
      <c r="H122" s="174"/>
      <c r="I122" s="186"/>
      <c r="J122" s="134"/>
      <c r="K122" s="109"/>
      <c r="L122" s="109"/>
    </row>
    <row r="123" spans="1:12" ht="15.75" customHeight="1">
      <c r="A123" s="175"/>
      <c r="B123" s="176"/>
      <c r="C123" s="176"/>
      <c r="D123" s="176"/>
      <c r="E123" s="176"/>
      <c r="F123" s="176"/>
      <c r="G123" s="176"/>
      <c r="H123" s="176"/>
      <c r="I123" s="187"/>
      <c r="J123" s="134"/>
      <c r="K123" s="141"/>
      <c r="L123" s="141"/>
    </row>
    <row r="124" spans="1:12" ht="15.75" customHeight="1">
      <c r="A124" s="172" t="s">
        <v>483</v>
      </c>
      <c r="B124" s="365" t="s">
        <v>484</v>
      </c>
      <c r="C124" s="365"/>
      <c r="D124" s="365"/>
      <c r="E124" s="365"/>
      <c r="F124" s="365"/>
      <c r="G124" s="365"/>
      <c r="H124" s="174"/>
      <c r="I124" s="186">
        <f>I110+I113+I114</f>
        <v>4699.1030000000001</v>
      </c>
      <c r="J124" s="134"/>
      <c r="K124" s="109"/>
      <c r="L124" s="109"/>
    </row>
    <row r="125" spans="1:12" ht="15.75" customHeight="1">
      <c r="A125" s="177"/>
      <c r="B125" s="178"/>
      <c r="C125" s="178"/>
      <c r="D125" s="178"/>
      <c r="E125" s="178"/>
      <c r="F125" s="178"/>
      <c r="G125" s="178"/>
      <c r="H125" s="178"/>
      <c r="I125" s="188"/>
      <c r="J125" s="134"/>
      <c r="K125" s="109"/>
      <c r="L125" s="109"/>
    </row>
    <row r="126" spans="1:12" ht="15.75" customHeight="1">
      <c r="A126" s="172" t="s">
        <v>485</v>
      </c>
      <c r="B126" s="365" t="s">
        <v>486</v>
      </c>
      <c r="C126" s="365"/>
      <c r="D126" s="365"/>
      <c r="E126" s="365"/>
      <c r="F126" s="365"/>
      <c r="G126" s="365"/>
      <c r="H126" s="174"/>
      <c r="I126" s="186">
        <f>ROUND(I124/(1-H121),2)</f>
        <v>5121.08</v>
      </c>
      <c r="J126" s="134"/>
      <c r="K126" s="109"/>
      <c r="L126" s="109"/>
    </row>
    <row r="127" spans="1:12" ht="15.75" customHeight="1">
      <c r="A127" s="172"/>
      <c r="B127" s="173"/>
      <c r="C127" s="173"/>
      <c r="D127" s="173"/>
      <c r="E127" s="173"/>
      <c r="F127" s="173"/>
      <c r="G127" s="173"/>
      <c r="H127" s="174"/>
      <c r="I127" s="186"/>
      <c r="J127" s="134"/>
      <c r="K127" s="109"/>
      <c r="L127" s="109"/>
    </row>
    <row r="128" spans="1:12" ht="15.75" customHeight="1">
      <c r="A128" s="172"/>
      <c r="B128" s="365" t="s">
        <v>487</v>
      </c>
      <c r="C128" s="365"/>
      <c r="D128" s="365"/>
      <c r="E128" s="365"/>
      <c r="F128" s="365"/>
      <c r="G128" s="365"/>
      <c r="H128" s="174"/>
      <c r="I128" s="186">
        <f>I126-I124</f>
        <v>421.97699999999986</v>
      </c>
      <c r="J128" s="134"/>
      <c r="K128" s="109"/>
      <c r="L128" s="109"/>
    </row>
    <row r="129" spans="1:12" ht="15.75" customHeight="1">
      <c r="A129" s="172"/>
      <c r="B129" s="173"/>
      <c r="H129" s="174"/>
      <c r="I129" s="186"/>
      <c r="J129" s="134"/>
      <c r="K129" s="109"/>
      <c r="L129" s="109"/>
    </row>
    <row r="130" spans="1:12" ht="15.75" customHeight="1">
      <c r="A130" s="351" t="s">
        <v>488</v>
      </c>
      <c r="B130" s="351"/>
      <c r="C130" s="351"/>
      <c r="D130" s="351"/>
      <c r="E130" s="351"/>
      <c r="F130" s="351"/>
      <c r="G130" s="351"/>
      <c r="H130" s="351"/>
      <c r="I130" s="351"/>
      <c r="J130" s="134"/>
      <c r="K130" s="109"/>
      <c r="L130" s="109"/>
    </row>
    <row r="131" spans="1:12" ht="15.75" customHeight="1">
      <c r="A131" s="351" t="s">
        <v>489</v>
      </c>
      <c r="B131" s="351"/>
      <c r="C131" s="351"/>
      <c r="D131" s="351"/>
      <c r="E131" s="351"/>
      <c r="F131" s="351"/>
      <c r="G131" s="351"/>
      <c r="H131" s="351"/>
      <c r="I131" s="96" t="s">
        <v>363</v>
      </c>
      <c r="J131" s="134"/>
      <c r="K131" s="141"/>
      <c r="L131" s="141"/>
    </row>
    <row r="132" spans="1:12" ht="15.75" customHeight="1">
      <c r="A132" s="63" t="s">
        <v>319</v>
      </c>
      <c r="B132" s="352" t="str">
        <f>A21</f>
        <v>MÓDULO 1 - COMPOSIÇÃO DA REMUNERAÇÃO</v>
      </c>
      <c r="C132" s="352"/>
      <c r="D132" s="352"/>
      <c r="E132" s="352"/>
      <c r="F132" s="352"/>
      <c r="G132" s="352"/>
      <c r="H132" s="352"/>
      <c r="I132" s="189">
        <f>I29</f>
        <v>1857.56</v>
      </c>
      <c r="J132" s="134"/>
      <c r="K132" s="141"/>
      <c r="L132" s="141"/>
    </row>
    <row r="133" spans="1:12" ht="15.75" customHeight="1">
      <c r="A133" s="63" t="s">
        <v>322</v>
      </c>
      <c r="B133" s="352" t="str">
        <f>A31</f>
        <v>MÓDULO 2 – ENCARGOS E BENEFÍCIOS ANUAIS, MENSAIS E DIÁRIOS</v>
      </c>
      <c r="C133" s="352"/>
      <c r="D133" s="352"/>
      <c r="E133" s="352"/>
      <c r="F133" s="352"/>
      <c r="G133" s="352"/>
      <c r="H133" s="352"/>
      <c r="I133" s="189">
        <f>I62</f>
        <v>1690.6779999999999</v>
      </c>
      <c r="J133" s="134"/>
      <c r="K133" s="141"/>
      <c r="L133" s="141"/>
    </row>
    <row r="134" spans="1:12" ht="15.75" customHeight="1">
      <c r="A134" s="63" t="s">
        <v>326</v>
      </c>
      <c r="B134" s="352" t="str">
        <f>A66</f>
        <v>MÓDULO 3 – PROVISÃO PARA RESCISÃO</v>
      </c>
      <c r="C134" s="352"/>
      <c r="D134" s="352"/>
      <c r="E134" s="352"/>
      <c r="F134" s="352"/>
      <c r="G134" s="352"/>
      <c r="H134" s="352"/>
      <c r="I134" s="189">
        <f>I73</f>
        <v>246.24</v>
      </c>
      <c r="J134" s="134"/>
      <c r="K134" s="100"/>
      <c r="L134" s="100"/>
    </row>
    <row r="135" spans="1:12" ht="15.75" customHeight="1">
      <c r="A135" s="63" t="s">
        <v>330</v>
      </c>
      <c r="B135" s="352" t="str">
        <f>A78</f>
        <v>MÓDULO 4 – CUSTO DE REPOSIÇÃO DO PROFISSIONAL AUSENTE</v>
      </c>
      <c r="C135" s="352"/>
      <c r="D135" s="352"/>
      <c r="E135" s="352"/>
      <c r="F135" s="352"/>
      <c r="G135" s="352"/>
      <c r="H135" s="352"/>
      <c r="I135" s="189">
        <f>I96</f>
        <v>72.86</v>
      </c>
      <c r="J135" s="190"/>
      <c r="K135" s="100"/>
      <c r="L135" s="100"/>
    </row>
    <row r="136" spans="1:12" ht="15.75" customHeight="1">
      <c r="A136" s="63" t="s">
        <v>372</v>
      </c>
      <c r="B136" s="352" t="str">
        <f>A98</f>
        <v>MÓDULO 5 – INSUMOS DIVERSOS</v>
      </c>
      <c r="C136" s="352"/>
      <c r="D136" s="352"/>
      <c r="E136" s="352"/>
      <c r="F136" s="352"/>
      <c r="G136" s="352"/>
      <c r="H136" s="352"/>
      <c r="I136" s="189">
        <f>I104</f>
        <v>693.90500000000009</v>
      </c>
      <c r="J136" s="134"/>
      <c r="K136" s="100"/>
      <c r="L136" s="100"/>
    </row>
    <row r="137" spans="1:12" ht="15.75" customHeight="1">
      <c r="A137" s="351" t="s">
        <v>490</v>
      </c>
      <c r="B137" s="351"/>
      <c r="C137" s="351"/>
      <c r="D137" s="351"/>
      <c r="E137" s="351"/>
      <c r="F137" s="351"/>
      <c r="G137" s="351"/>
      <c r="H137" s="351"/>
      <c r="I137" s="129">
        <f>SUM(I132:I136)</f>
        <v>4561.2430000000004</v>
      </c>
      <c r="J137" s="134"/>
    </row>
    <row r="138" spans="1:12" ht="15.75" customHeight="1">
      <c r="A138" s="63" t="s">
        <v>374</v>
      </c>
      <c r="B138" s="352" t="str">
        <f>A111</f>
        <v>MÓDULO 6 – CUSTOS INDIRETOS, TRIBUTOS E LUCRO</v>
      </c>
      <c r="C138" s="352"/>
      <c r="D138" s="352"/>
      <c r="E138" s="352"/>
      <c r="F138" s="352"/>
      <c r="G138" s="352"/>
      <c r="H138" s="352"/>
      <c r="I138" s="189">
        <f>I119</f>
        <v>559.82999999999993</v>
      </c>
      <c r="J138" s="191">
        <f>SUM(J28:J137)</f>
        <v>3300.0837999999999</v>
      </c>
    </row>
    <row r="139" spans="1:12" ht="15.75" customHeight="1">
      <c r="A139" s="351" t="s">
        <v>491</v>
      </c>
      <c r="B139" s="351"/>
      <c r="C139" s="351"/>
      <c r="D139" s="351"/>
      <c r="E139" s="351"/>
      <c r="F139" s="351"/>
      <c r="G139" s="351"/>
      <c r="H139" s="351"/>
      <c r="I139" s="129">
        <f>SUM(I137:I138)</f>
        <v>5121.0730000000003</v>
      </c>
    </row>
    <row r="140" spans="1:12" ht="15.75" customHeight="1"/>
    <row r="141" spans="1:12" ht="15.75" customHeight="1"/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4" firstPageNumber="0" orientation="portrait" useFirstPageNumber="1" horizontalDpi="300" verticalDpi="300"/>
  <rowBreaks count="1" manualBreakCount="1">
    <brk id="140" max="16383" man="1"/>
  </row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997"/>
  <sheetViews>
    <sheetView topLeftCell="A78" zoomScale="51" zoomScaleNormal="51" workbookViewId="0">
      <selection activeCell="H117" sqref="H117"/>
    </sheetView>
  </sheetViews>
  <sheetFormatPr defaultColWidth="9" defaultRowHeight="15"/>
  <cols>
    <col min="1" max="1" width="7.42578125" customWidth="1"/>
    <col min="2" max="2" width="10.85546875" customWidth="1"/>
    <col min="3" max="4" width="14.85546875" customWidth="1"/>
    <col min="5" max="5" width="12.42578125" customWidth="1"/>
    <col min="6" max="6" width="10.42578125" customWidth="1"/>
    <col min="7" max="7" width="14.7109375" customWidth="1"/>
    <col min="8" max="8" width="17.28515625" customWidth="1"/>
    <col min="9" max="9" width="28.5703125" customWidth="1"/>
    <col min="10" max="10" width="22.140625" customWidth="1"/>
    <col min="11" max="11" width="38.85546875" customWidth="1"/>
    <col min="12" max="12" width="39.28515625" customWidth="1"/>
    <col min="13" max="1025" width="14.42578125" customWidth="1"/>
  </cols>
  <sheetData>
    <row r="1" spans="1:12" ht="15.75">
      <c r="A1" s="348" t="s">
        <v>506</v>
      </c>
      <c r="B1" s="348"/>
      <c r="C1" s="348"/>
      <c r="D1" s="348"/>
      <c r="E1" s="348"/>
      <c r="F1" s="348"/>
      <c r="G1" s="348"/>
      <c r="H1" s="348"/>
      <c r="I1" s="348"/>
      <c r="J1" s="366" t="s">
        <v>315</v>
      </c>
      <c r="K1" s="100"/>
      <c r="L1" s="100"/>
    </row>
    <row r="2" spans="1:12" ht="15.75">
      <c r="A2" s="348"/>
      <c r="B2" s="348"/>
      <c r="C2" s="348"/>
      <c r="D2" s="348"/>
      <c r="E2" s="348"/>
      <c r="F2" s="348"/>
      <c r="G2" s="348"/>
      <c r="H2" s="348"/>
      <c r="I2" s="348"/>
      <c r="J2" s="366"/>
      <c r="K2" s="100"/>
      <c r="L2" s="100"/>
    </row>
    <row r="3" spans="1:12" ht="15.75">
      <c r="A3" s="348" t="s">
        <v>316</v>
      </c>
      <c r="B3" s="348"/>
      <c r="C3" s="348"/>
      <c r="D3" s="348"/>
      <c r="E3" s="348"/>
      <c r="F3" s="348"/>
      <c r="G3" s="348"/>
      <c r="H3" s="350" t="s">
        <v>317</v>
      </c>
      <c r="I3" s="350"/>
      <c r="J3" s="366"/>
      <c r="K3" s="100"/>
      <c r="L3" s="100"/>
    </row>
    <row r="4" spans="1:12" ht="15.75">
      <c r="A4" s="348"/>
      <c r="B4" s="348"/>
      <c r="C4" s="348"/>
      <c r="D4" s="348"/>
      <c r="E4" s="348"/>
      <c r="F4" s="348"/>
      <c r="G4" s="348"/>
      <c r="H4" s="348"/>
      <c r="I4" s="348"/>
      <c r="J4" s="366"/>
      <c r="K4" s="101"/>
      <c r="L4" s="101"/>
    </row>
    <row r="5" spans="1:12" ht="15.75">
      <c r="A5" s="351" t="s">
        <v>318</v>
      </c>
      <c r="B5" s="351"/>
      <c r="C5" s="351"/>
      <c r="D5" s="351"/>
      <c r="E5" s="351"/>
      <c r="F5" s="351"/>
      <c r="G5" s="351"/>
      <c r="H5" s="351"/>
      <c r="I5" s="351"/>
      <c r="J5" s="366"/>
      <c r="K5" s="100"/>
      <c r="L5" s="100"/>
    </row>
    <row r="6" spans="1:12" ht="15.75">
      <c r="A6" s="63" t="s">
        <v>319</v>
      </c>
      <c r="B6" s="352" t="s">
        <v>320</v>
      </c>
      <c r="C6" s="352"/>
      <c r="D6" s="352"/>
      <c r="E6" s="352"/>
      <c r="F6" s="352"/>
      <c r="G6" s="352"/>
      <c r="H6" s="352"/>
      <c r="I6" s="102"/>
      <c r="J6" s="366"/>
      <c r="K6" s="103" t="s">
        <v>321</v>
      </c>
      <c r="L6" s="104"/>
    </row>
    <row r="7" spans="1:12" ht="15.75">
      <c r="A7" s="63" t="s">
        <v>322</v>
      </c>
      <c r="B7" s="352" t="s">
        <v>323</v>
      </c>
      <c r="C7" s="352"/>
      <c r="D7" s="352"/>
      <c r="E7" s="352"/>
      <c r="F7" s="352"/>
      <c r="G7" s="352"/>
      <c r="H7" s="352"/>
      <c r="I7" s="63" t="s">
        <v>324</v>
      </c>
      <c r="J7" s="366"/>
      <c r="K7" s="105" t="s">
        <v>325</v>
      </c>
      <c r="L7" s="106"/>
    </row>
    <row r="8" spans="1:12" ht="15.75">
      <c r="A8" s="63" t="s">
        <v>326</v>
      </c>
      <c r="B8" s="352" t="s">
        <v>327</v>
      </c>
      <c r="C8" s="352"/>
      <c r="D8" s="352"/>
      <c r="E8" s="352"/>
      <c r="F8" s="352"/>
      <c r="G8" s="352"/>
      <c r="H8" s="352"/>
      <c r="I8" s="63" t="s">
        <v>328</v>
      </c>
      <c r="J8" s="366"/>
      <c r="K8" s="107" t="s">
        <v>329</v>
      </c>
      <c r="L8" s="108">
        <f>J138</f>
        <v>2851.2740400000002</v>
      </c>
    </row>
    <row r="9" spans="1:12" ht="15.75">
      <c r="A9" s="63" t="s">
        <v>330</v>
      </c>
      <c r="B9" s="352" t="s">
        <v>331</v>
      </c>
      <c r="C9" s="352"/>
      <c r="D9" s="352"/>
      <c r="E9" s="352"/>
      <c r="F9" s="352"/>
      <c r="G9" s="352"/>
      <c r="H9" s="352"/>
      <c r="I9" s="63">
        <v>12</v>
      </c>
      <c r="J9" s="366"/>
      <c r="K9" s="109"/>
      <c r="L9" s="109"/>
    </row>
    <row r="10" spans="1:12" ht="15.75">
      <c r="A10" s="353"/>
      <c r="B10" s="353"/>
      <c r="C10" s="353"/>
      <c r="D10" s="353"/>
      <c r="E10" s="353"/>
      <c r="F10" s="353"/>
      <c r="G10" s="353"/>
      <c r="H10" s="353"/>
      <c r="I10" s="353"/>
      <c r="J10" s="366"/>
      <c r="K10" s="103" t="s">
        <v>332</v>
      </c>
      <c r="L10" s="104"/>
    </row>
    <row r="11" spans="1:12" ht="12.75" customHeight="1">
      <c r="A11" s="351" t="s">
        <v>333</v>
      </c>
      <c r="B11" s="351"/>
      <c r="C11" s="351"/>
      <c r="D11" s="351"/>
      <c r="E11" s="351"/>
      <c r="F11" s="351"/>
      <c r="G11" s="351"/>
      <c r="H11" s="351"/>
      <c r="I11" s="351"/>
      <c r="J11" s="366"/>
      <c r="K11" s="110" t="s">
        <v>334</v>
      </c>
      <c r="L11" s="111"/>
    </row>
    <row r="12" spans="1:12" ht="15.75">
      <c r="A12" s="350" t="s">
        <v>335</v>
      </c>
      <c r="B12" s="350"/>
      <c r="C12" s="350" t="s">
        <v>336</v>
      </c>
      <c r="D12" s="350"/>
      <c r="E12" s="350" t="s">
        <v>337</v>
      </c>
      <c r="F12" s="350"/>
      <c r="G12" s="350"/>
      <c r="H12" s="350"/>
      <c r="I12" s="350"/>
      <c r="J12" s="366"/>
      <c r="K12" s="112" t="s">
        <v>338</v>
      </c>
      <c r="L12" s="113">
        <v>0.11</v>
      </c>
    </row>
    <row r="13" spans="1:12" ht="15.75">
      <c r="A13" s="354" t="s">
        <v>339</v>
      </c>
      <c r="B13" s="354"/>
      <c r="C13" s="355" t="s">
        <v>499</v>
      </c>
      <c r="D13" s="355"/>
      <c r="E13" s="350"/>
      <c r="F13" s="350"/>
      <c r="G13" s="350"/>
      <c r="H13" s="350"/>
      <c r="I13" s="350"/>
      <c r="J13" s="366"/>
      <c r="K13" s="114" t="s">
        <v>341</v>
      </c>
      <c r="L13" s="115">
        <f>I52</f>
        <v>473.82</v>
      </c>
    </row>
    <row r="14" spans="1:12" ht="15.75">
      <c r="A14" s="351" t="s">
        <v>342</v>
      </c>
      <c r="B14" s="351"/>
      <c r="C14" s="351"/>
      <c r="D14" s="351"/>
      <c r="E14" s="351"/>
      <c r="F14" s="351"/>
      <c r="G14" s="351"/>
      <c r="H14" s="351"/>
      <c r="I14" s="351"/>
      <c r="J14" s="366"/>
      <c r="K14" s="114" t="s">
        <v>343</v>
      </c>
      <c r="L14" s="115">
        <f>I104</f>
        <v>693.90500000000009</v>
      </c>
    </row>
    <row r="15" spans="1:12" ht="26.25">
      <c r="A15" s="63">
        <v>1</v>
      </c>
      <c r="B15" s="352" t="s">
        <v>344</v>
      </c>
      <c r="C15" s="352"/>
      <c r="D15" s="352"/>
      <c r="E15" s="352"/>
      <c r="F15" s="352"/>
      <c r="G15" s="352"/>
      <c r="H15" s="352"/>
      <c r="I15" s="69" t="s">
        <v>500</v>
      </c>
      <c r="J15" s="366"/>
      <c r="K15" s="114" t="s">
        <v>346</v>
      </c>
      <c r="L15" s="115">
        <f>I51</f>
        <v>0</v>
      </c>
    </row>
    <row r="16" spans="1:12" ht="15.75">
      <c r="A16" s="63">
        <v>2</v>
      </c>
      <c r="B16" s="352" t="s">
        <v>347</v>
      </c>
      <c r="C16" s="352"/>
      <c r="D16" s="352"/>
      <c r="E16" s="352"/>
      <c r="F16" s="352"/>
      <c r="G16" s="352"/>
      <c r="H16" s="352"/>
      <c r="I16" s="63" t="s">
        <v>501</v>
      </c>
      <c r="J16" s="366"/>
      <c r="K16" s="116" t="s">
        <v>349</v>
      </c>
      <c r="L16" s="117">
        <f>SUM(L13:L15)</f>
        <v>1167.7250000000001</v>
      </c>
    </row>
    <row r="17" spans="1:12" ht="15.75">
      <c r="A17" s="63">
        <v>3</v>
      </c>
      <c r="B17" s="352" t="s">
        <v>350</v>
      </c>
      <c r="C17" s="352"/>
      <c r="D17" s="352"/>
      <c r="E17" s="352"/>
      <c r="F17" s="352"/>
      <c r="G17" s="352"/>
      <c r="H17" s="352"/>
      <c r="I17" s="64">
        <v>1553.96</v>
      </c>
      <c r="J17" s="366"/>
      <c r="K17" s="114" t="s">
        <v>351</v>
      </c>
      <c r="L17" s="118">
        <f>I139</f>
        <v>4517.973</v>
      </c>
    </row>
    <row r="18" spans="1:12" ht="51">
      <c r="A18" s="6">
        <v>4</v>
      </c>
      <c r="B18" s="356" t="s">
        <v>352</v>
      </c>
      <c r="C18" s="356"/>
      <c r="D18" s="356"/>
      <c r="E18" s="356"/>
      <c r="F18" s="356"/>
      <c r="G18" s="356"/>
      <c r="H18" s="356"/>
      <c r="I18" s="13" t="s">
        <v>353</v>
      </c>
      <c r="J18" s="366"/>
      <c r="K18" s="119" t="s">
        <v>354</v>
      </c>
      <c r="L18" s="120">
        <f>L17-L16</f>
        <v>3350.2479999999996</v>
      </c>
    </row>
    <row r="19" spans="1:12" ht="15.75">
      <c r="A19" s="63">
        <v>5</v>
      </c>
      <c r="B19" s="352" t="s">
        <v>355</v>
      </c>
      <c r="C19" s="352"/>
      <c r="D19" s="352"/>
      <c r="E19" s="352"/>
      <c r="F19" s="352"/>
      <c r="G19" s="352"/>
      <c r="H19" s="352"/>
      <c r="I19" s="102" t="s">
        <v>356</v>
      </c>
      <c r="J19" s="366"/>
      <c r="K19" s="121" t="s">
        <v>357</v>
      </c>
      <c r="L19" s="122">
        <f>L18*11%</f>
        <v>368.52727999999996</v>
      </c>
    </row>
    <row r="20" spans="1:12" ht="15.75">
      <c r="A20" s="357"/>
      <c r="B20" s="357"/>
      <c r="C20" s="357"/>
      <c r="D20" s="357"/>
      <c r="E20" s="357"/>
      <c r="F20" s="357"/>
      <c r="G20" s="357"/>
      <c r="H20" s="357"/>
      <c r="I20" s="357"/>
      <c r="J20" s="366"/>
      <c r="K20" s="112" t="s">
        <v>358</v>
      </c>
      <c r="L20" s="123"/>
    </row>
    <row r="21" spans="1:12" ht="15.75" customHeight="1">
      <c r="A21" s="351" t="s">
        <v>359</v>
      </c>
      <c r="B21" s="351"/>
      <c r="C21" s="351"/>
      <c r="D21" s="351"/>
      <c r="E21" s="351"/>
      <c r="F21" s="351"/>
      <c r="G21" s="351"/>
      <c r="H21" s="351"/>
      <c r="I21" s="351"/>
      <c r="J21" s="366"/>
      <c r="K21" s="124" t="s">
        <v>360</v>
      </c>
      <c r="L21" s="125">
        <v>1.2E-2</v>
      </c>
    </row>
    <row r="22" spans="1:12" ht="15.75" customHeight="1">
      <c r="A22" s="95">
        <v>1</v>
      </c>
      <c r="B22" s="351" t="s">
        <v>361</v>
      </c>
      <c r="C22" s="351"/>
      <c r="D22" s="351"/>
      <c r="E22" s="351"/>
      <c r="F22" s="351"/>
      <c r="G22" s="351"/>
      <c r="H22" s="96" t="s">
        <v>362</v>
      </c>
      <c r="I22" s="96" t="s">
        <v>363</v>
      </c>
      <c r="J22" s="366"/>
      <c r="K22" s="126" t="s">
        <v>364</v>
      </c>
      <c r="L22" s="127">
        <v>4.8000000000000001E-2</v>
      </c>
    </row>
    <row r="23" spans="1:12" ht="15.75" customHeight="1">
      <c r="A23" s="95" t="s">
        <v>319</v>
      </c>
      <c r="B23" s="352" t="s">
        <v>365</v>
      </c>
      <c r="C23" s="352"/>
      <c r="D23" s="352"/>
      <c r="E23" s="352"/>
      <c r="F23" s="352"/>
      <c r="G23" s="352"/>
      <c r="H23" s="62"/>
      <c r="I23" s="128">
        <f>I17</f>
        <v>1553.96</v>
      </c>
      <c r="J23" s="366"/>
      <c r="K23" s="114" t="s">
        <v>366</v>
      </c>
      <c r="L23" s="118">
        <f>L17</f>
        <v>4517.973</v>
      </c>
    </row>
    <row r="24" spans="1:12" ht="15.75" customHeight="1">
      <c r="A24" s="95" t="s">
        <v>322</v>
      </c>
      <c r="B24" s="352" t="s">
        <v>367</v>
      </c>
      <c r="C24" s="352"/>
      <c r="D24" s="352"/>
      <c r="E24" s="352"/>
      <c r="F24" s="352"/>
      <c r="G24" s="352"/>
      <c r="H24" s="97"/>
      <c r="I24" s="128">
        <v>0</v>
      </c>
      <c r="J24" s="366"/>
      <c r="K24" s="121" t="s">
        <v>368</v>
      </c>
      <c r="L24" s="122">
        <f>L23*L21</f>
        <v>54.215676000000002</v>
      </c>
    </row>
    <row r="25" spans="1:12" ht="15.75" customHeight="1">
      <c r="A25" s="95" t="s">
        <v>326</v>
      </c>
      <c r="B25" s="352" t="s">
        <v>369</v>
      </c>
      <c r="C25" s="352"/>
      <c r="D25" s="352"/>
      <c r="E25" s="352"/>
      <c r="F25" s="352"/>
      <c r="G25" s="352"/>
      <c r="H25" s="97"/>
      <c r="I25" s="128">
        <v>0</v>
      </c>
      <c r="J25" s="366"/>
      <c r="K25" s="112" t="s">
        <v>370</v>
      </c>
      <c r="L25" s="113">
        <v>0.01</v>
      </c>
    </row>
    <row r="26" spans="1:12" ht="15.75" customHeight="1">
      <c r="A26" s="95" t="s">
        <v>330</v>
      </c>
      <c r="B26" s="352" t="s">
        <v>371</v>
      </c>
      <c r="C26" s="352"/>
      <c r="D26" s="352"/>
      <c r="E26" s="352"/>
      <c r="F26" s="352"/>
      <c r="G26" s="352"/>
      <c r="H26" s="97"/>
      <c r="I26" s="128">
        <v>0</v>
      </c>
      <c r="J26" s="366"/>
      <c r="K26" s="119" t="s">
        <v>351</v>
      </c>
      <c r="L26" s="120">
        <f>L17</f>
        <v>4517.973</v>
      </c>
    </row>
    <row r="27" spans="1:12" ht="15.75" customHeight="1">
      <c r="A27" s="95" t="s">
        <v>372</v>
      </c>
      <c r="B27" s="352" t="s">
        <v>373</v>
      </c>
      <c r="C27" s="352"/>
      <c r="D27" s="352"/>
      <c r="E27" s="352"/>
      <c r="F27" s="352"/>
      <c r="G27" s="352"/>
      <c r="H27" s="97"/>
      <c r="I27" s="128">
        <v>0</v>
      </c>
      <c r="J27" s="366"/>
      <c r="K27" s="121" t="s">
        <v>357</v>
      </c>
      <c r="L27" s="122">
        <f>L26*L25</f>
        <v>45.179729999999999</v>
      </c>
    </row>
    <row r="28" spans="1:12" ht="15.75" customHeight="1">
      <c r="A28" s="95" t="s">
        <v>374</v>
      </c>
      <c r="B28" s="352" t="s">
        <v>375</v>
      </c>
      <c r="C28" s="352"/>
      <c r="D28" s="352"/>
      <c r="E28" s="352"/>
      <c r="F28" s="352"/>
      <c r="G28" s="352"/>
      <c r="H28" s="97"/>
      <c r="I28" s="128">
        <v>0</v>
      </c>
      <c r="J28" s="366"/>
      <c r="K28" s="112" t="s">
        <v>376</v>
      </c>
      <c r="L28" s="113">
        <f>H117</f>
        <v>2.6599999999999999E-2</v>
      </c>
    </row>
    <row r="29" spans="1:12" ht="15.75" customHeight="1">
      <c r="A29" s="351" t="s">
        <v>377</v>
      </c>
      <c r="B29" s="351"/>
      <c r="C29" s="351"/>
      <c r="D29" s="351"/>
      <c r="E29" s="351"/>
      <c r="F29" s="351"/>
      <c r="G29" s="351"/>
      <c r="H29" s="351"/>
      <c r="I29" s="129">
        <f>SUM(I23:I28)</f>
        <v>1553.96</v>
      </c>
      <c r="J29" s="130">
        <f>SUM(I23:I28)</f>
        <v>1553.96</v>
      </c>
      <c r="K29" s="119" t="s">
        <v>351</v>
      </c>
      <c r="L29" s="120">
        <f>L17</f>
        <v>4517.973</v>
      </c>
    </row>
    <row r="30" spans="1:12" ht="15.7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131"/>
      <c r="K30" s="121" t="s">
        <v>357</v>
      </c>
      <c r="L30" s="122">
        <f>L29*L28</f>
        <v>120.17808179999999</v>
      </c>
    </row>
    <row r="31" spans="1:12" ht="15.75" customHeight="1">
      <c r="A31" s="351" t="s">
        <v>378</v>
      </c>
      <c r="B31" s="351"/>
      <c r="C31" s="351"/>
      <c r="D31" s="351"/>
      <c r="E31" s="351"/>
      <c r="F31" s="351"/>
      <c r="G31" s="351"/>
      <c r="H31" s="351"/>
      <c r="I31" s="351"/>
      <c r="J31" s="131"/>
      <c r="K31" s="112" t="s">
        <v>379</v>
      </c>
      <c r="L31" s="113">
        <f>H116</f>
        <v>5.7999999999999996E-3</v>
      </c>
    </row>
    <row r="32" spans="1:12" ht="15.75" customHeight="1">
      <c r="A32" s="351" t="s">
        <v>380</v>
      </c>
      <c r="B32" s="351"/>
      <c r="C32" s="351"/>
      <c r="D32" s="351"/>
      <c r="E32" s="351"/>
      <c r="F32" s="351"/>
      <c r="G32" s="351"/>
      <c r="H32" s="96" t="s">
        <v>362</v>
      </c>
      <c r="I32" s="96" t="s">
        <v>363</v>
      </c>
      <c r="J32" s="132"/>
      <c r="K32" s="119" t="s">
        <v>351</v>
      </c>
      <c r="L32" s="120">
        <f>L17</f>
        <v>4517.973</v>
      </c>
    </row>
    <row r="33" spans="1:12" ht="15.75" customHeight="1">
      <c r="A33" s="95" t="s">
        <v>319</v>
      </c>
      <c r="B33" s="352" t="s">
        <v>381</v>
      </c>
      <c r="C33" s="352"/>
      <c r="D33" s="352"/>
      <c r="E33" s="352"/>
      <c r="F33" s="352"/>
      <c r="G33" s="352"/>
      <c r="H33" s="97">
        <f>ROUND(1/12,4)</f>
        <v>8.3299999999999999E-2</v>
      </c>
      <c r="I33" s="133">
        <f>ROUND(I29*H33,2)</f>
        <v>129.44</v>
      </c>
      <c r="J33" s="130">
        <f>I33+(I33*$H$48)</f>
        <v>174.48511999999999</v>
      </c>
      <c r="K33" s="121" t="s">
        <v>357</v>
      </c>
      <c r="L33" s="122">
        <f>L32*L31</f>
        <v>26.204243399999999</v>
      </c>
    </row>
    <row r="34" spans="1:12" ht="15.75" customHeight="1">
      <c r="A34" s="95" t="s">
        <v>322</v>
      </c>
      <c r="B34" s="352" t="s">
        <v>382</v>
      </c>
      <c r="C34" s="352"/>
      <c r="D34" s="352"/>
      <c r="E34" s="352"/>
      <c r="F34" s="352"/>
      <c r="G34" s="352"/>
      <c r="H34" s="97">
        <v>0.121</v>
      </c>
      <c r="I34" s="133">
        <f>ROUND(I29*H34,2)</f>
        <v>188.03</v>
      </c>
      <c r="J34" s="130">
        <f>I34+(I34*$H$48)</f>
        <v>253.46444000000002</v>
      </c>
      <c r="K34" s="112" t="s">
        <v>383</v>
      </c>
      <c r="L34" s="113">
        <f>H118</f>
        <v>0.05</v>
      </c>
    </row>
    <row r="35" spans="1:12" ht="15.75" customHeight="1">
      <c r="A35" s="351" t="s">
        <v>384</v>
      </c>
      <c r="B35" s="351"/>
      <c r="C35" s="351"/>
      <c r="D35" s="351"/>
      <c r="E35" s="351"/>
      <c r="F35" s="351"/>
      <c r="G35" s="351"/>
      <c r="H35" s="98">
        <f>SUM(H33:H34)</f>
        <v>0.20430000000000001</v>
      </c>
      <c r="I35" s="129">
        <f>SUM(I33:I34)</f>
        <v>317.47000000000003</v>
      </c>
      <c r="J35" s="134"/>
      <c r="K35" s="119" t="s">
        <v>351</v>
      </c>
      <c r="L35" s="120">
        <f>L17</f>
        <v>4517.973</v>
      </c>
    </row>
    <row r="36" spans="1:12" ht="15.75" customHeight="1">
      <c r="A36" s="369" t="s">
        <v>385</v>
      </c>
      <c r="B36" s="369"/>
      <c r="C36" s="369"/>
      <c r="D36" s="369"/>
      <c r="E36" s="369"/>
      <c r="F36" s="369"/>
      <c r="G36" s="358" t="s">
        <v>386</v>
      </c>
      <c r="H36" s="358"/>
      <c r="I36" s="135">
        <f>I29</f>
        <v>1553.96</v>
      </c>
      <c r="J36" s="136"/>
      <c r="K36" s="121" t="s">
        <v>357</v>
      </c>
      <c r="L36" s="122">
        <f>L35*L34</f>
        <v>225.89865</v>
      </c>
    </row>
    <row r="37" spans="1:12" ht="15.75" customHeight="1">
      <c r="A37" s="369"/>
      <c r="B37" s="369"/>
      <c r="C37" s="369"/>
      <c r="D37" s="369"/>
      <c r="E37" s="369"/>
      <c r="F37" s="369"/>
      <c r="G37" s="358" t="s">
        <v>387</v>
      </c>
      <c r="H37" s="358"/>
      <c r="I37" s="135">
        <f>I35</f>
        <v>317.47000000000003</v>
      </c>
      <c r="J37" s="137"/>
      <c r="K37" s="138" t="s">
        <v>388</v>
      </c>
      <c r="L37" s="139">
        <f>L19+L24+L27+L30+L33+L36</f>
        <v>840.20366119999994</v>
      </c>
    </row>
    <row r="38" spans="1:12" ht="15.75" customHeight="1">
      <c r="A38" s="369"/>
      <c r="B38" s="369"/>
      <c r="C38" s="369"/>
      <c r="D38" s="369"/>
      <c r="E38" s="369"/>
      <c r="F38" s="369"/>
      <c r="G38" s="359" t="s">
        <v>389</v>
      </c>
      <c r="H38" s="359"/>
      <c r="I38" s="140">
        <f>SUM(I36:I37)</f>
        <v>1871.43</v>
      </c>
      <c r="J38" s="136"/>
      <c r="K38" s="141"/>
      <c r="L38" s="141"/>
    </row>
    <row r="39" spans="1:12" ht="15.75" customHeight="1">
      <c r="A39" s="351" t="s">
        <v>390</v>
      </c>
      <c r="B39" s="351"/>
      <c r="C39" s="351"/>
      <c r="D39" s="351"/>
      <c r="E39" s="351"/>
      <c r="F39" s="351"/>
      <c r="G39" s="351"/>
      <c r="H39" s="96" t="s">
        <v>362</v>
      </c>
      <c r="I39" s="96" t="s">
        <v>363</v>
      </c>
      <c r="J39" s="136"/>
      <c r="K39" s="142" t="s">
        <v>391</v>
      </c>
      <c r="L39" s="143"/>
    </row>
    <row r="40" spans="1:12" ht="15.75" customHeight="1">
      <c r="A40" s="95" t="s">
        <v>319</v>
      </c>
      <c r="B40" s="352" t="s">
        <v>392</v>
      </c>
      <c r="C40" s="352"/>
      <c r="D40" s="352"/>
      <c r="E40" s="352"/>
      <c r="F40" s="352"/>
      <c r="G40" s="352"/>
      <c r="H40" s="97">
        <v>0.2</v>
      </c>
      <c r="I40" s="133">
        <f t="shared" ref="I40:I47" si="0">ROUND($I$38*H40,2)</f>
        <v>374.29</v>
      </c>
      <c r="J40" s="144" t="s">
        <v>393</v>
      </c>
      <c r="K40" s="145" t="s">
        <v>394</v>
      </c>
      <c r="L40" s="146"/>
    </row>
    <row r="41" spans="1:12" ht="15.75" customHeight="1">
      <c r="A41" s="95" t="s">
        <v>322</v>
      </c>
      <c r="B41" s="352" t="s">
        <v>395</v>
      </c>
      <c r="C41" s="352"/>
      <c r="D41" s="352"/>
      <c r="E41" s="352"/>
      <c r="F41" s="352"/>
      <c r="G41" s="352"/>
      <c r="H41" s="97">
        <v>2.5000000000000001E-2</v>
      </c>
      <c r="I41" s="133">
        <f t="shared" si="0"/>
        <v>46.79</v>
      </c>
      <c r="J41" s="130">
        <f t="shared" ref="J41:J47" si="1">$I$29*H41</f>
        <v>38.848999999999997</v>
      </c>
      <c r="K41" s="147" t="s">
        <v>394</v>
      </c>
      <c r="L41" s="148">
        <f>L8+L37</f>
        <v>3691.4777012000004</v>
      </c>
    </row>
    <row r="42" spans="1:12" ht="15.75" customHeight="1">
      <c r="A42" s="95" t="s">
        <v>326</v>
      </c>
      <c r="B42" s="352" t="s">
        <v>396</v>
      </c>
      <c r="C42" s="352"/>
      <c r="D42" s="352"/>
      <c r="E42" s="352"/>
      <c r="F42" s="352"/>
      <c r="G42" s="352"/>
      <c r="H42" s="402">
        <v>0.01</v>
      </c>
      <c r="I42" s="133">
        <f t="shared" si="0"/>
        <v>18.71</v>
      </c>
      <c r="J42" s="144" t="s">
        <v>393</v>
      </c>
      <c r="K42" s="109"/>
      <c r="L42" s="149"/>
    </row>
    <row r="43" spans="1:12" ht="15.75" customHeight="1">
      <c r="A43" s="95" t="s">
        <v>330</v>
      </c>
      <c r="B43" s="352" t="s">
        <v>397</v>
      </c>
      <c r="C43" s="352"/>
      <c r="D43" s="352"/>
      <c r="E43" s="352"/>
      <c r="F43" s="352"/>
      <c r="G43" s="352"/>
      <c r="H43" s="97">
        <v>1.4999999999999999E-2</v>
      </c>
      <c r="I43" s="133">
        <f t="shared" si="0"/>
        <v>28.07</v>
      </c>
      <c r="J43" s="130">
        <f t="shared" si="1"/>
        <v>23.3094</v>
      </c>
      <c r="K43" s="109"/>
      <c r="L43" s="149"/>
    </row>
    <row r="44" spans="1:12" ht="15.75" customHeight="1">
      <c r="A44" s="95" t="s">
        <v>372</v>
      </c>
      <c r="B44" s="352" t="s">
        <v>398</v>
      </c>
      <c r="C44" s="352"/>
      <c r="D44" s="352"/>
      <c r="E44" s="352"/>
      <c r="F44" s="352"/>
      <c r="G44" s="352"/>
      <c r="H44" s="97">
        <v>0.01</v>
      </c>
      <c r="I44" s="133">
        <f t="shared" si="0"/>
        <v>18.71</v>
      </c>
      <c r="J44" s="130">
        <f t="shared" si="1"/>
        <v>15.5396</v>
      </c>
      <c r="K44" s="109"/>
      <c r="L44" s="149"/>
    </row>
    <row r="45" spans="1:12" ht="15.75" customHeight="1">
      <c r="A45" s="95" t="s">
        <v>374</v>
      </c>
      <c r="B45" s="352" t="s">
        <v>399</v>
      </c>
      <c r="C45" s="352"/>
      <c r="D45" s="352"/>
      <c r="E45" s="352"/>
      <c r="F45" s="352"/>
      <c r="G45" s="352"/>
      <c r="H45" s="97">
        <v>6.0000000000000001E-3</v>
      </c>
      <c r="I45" s="133">
        <f t="shared" si="0"/>
        <v>11.23</v>
      </c>
      <c r="J45" s="130">
        <f t="shared" si="1"/>
        <v>9.32376</v>
      </c>
      <c r="K45" s="109"/>
      <c r="L45" s="149"/>
    </row>
    <row r="46" spans="1:12" ht="15.75" customHeight="1">
      <c r="A46" s="95" t="s">
        <v>400</v>
      </c>
      <c r="B46" s="352" t="s">
        <v>401</v>
      </c>
      <c r="C46" s="352"/>
      <c r="D46" s="352"/>
      <c r="E46" s="352"/>
      <c r="F46" s="352"/>
      <c r="G46" s="352"/>
      <c r="H46" s="97">
        <v>2E-3</v>
      </c>
      <c r="I46" s="133">
        <f t="shared" si="0"/>
        <v>3.74</v>
      </c>
      <c r="J46" s="130">
        <f t="shared" si="1"/>
        <v>3.10792</v>
      </c>
      <c r="K46" s="109"/>
      <c r="L46" s="149"/>
    </row>
    <row r="47" spans="1:12" ht="15.75" customHeight="1">
      <c r="A47" s="95" t="s">
        <v>402</v>
      </c>
      <c r="B47" s="352" t="s">
        <v>403</v>
      </c>
      <c r="C47" s="352"/>
      <c r="D47" s="352"/>
      <c r="E47" s="352"/>
      <c r="F47" s="352"/>
      <c r="G47" s="352"/>
      <c r="H47" s="97">
        <v>0.08</v>
      </c>
      <c r="I47" s="133">
        <f t="shared" si="0"/>
        <v>149.71</v>
      </c>
      <c r="J47" s="130">
        <f t="shared" si="1"/>
        <v>124.3168</v>
      </c>
      <c r="K47" s="360" t="s">
        <v>404</v>
      </c>
      <c r="L47" s="360"/>
    </row>
    <row r="48" spans="1:12" ht="15.75" customHeight="1">
      <c r="A48" s="351" t="s">
        <v>405</v>
      </c>
      <c r="B48" s="351"/>
      <c r="C48" s="351"/>
      <c r="D48" s="351"/>
      <c r="E48" s="351"/>
      <c r="F48" s="351"/>
      <c r="G48" s="351"/>
      <c r="H48" s="98">
        <f>SUM(H40:H47)</f>
        <v>0.34800000000000003</v>
      </c>
      <c r="I48" s="129">
        <f>SUM(I40:I47)</f>
        <v>651.25</v>
      </c>
      <c r="J48" s="137"/>
      <c r="K48" s="361" t="s">
        <v>406</v>
      </c>
      <c r="L48" s="361"/>
    </row>
    <row r="49" spans="1:12" ht="15.75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137"/>
      <c r="K49" s="150" t="s">
        <v>407</v>
      </c>
      <c r="L49" s="151">
        <v>1</v>
      </c>
    </row>
    <row r="50" spans="1:12" ht="15.75" customHeight="1">
      <c r="A50" s="351" t="s">
        <v>408</v>
      </c>
      <c r="B50" s="351"/>
      <c r="C50" s="351"/>
      <c r="D50" s="351"/>
      <c r="E50" s="351"/>
      <c r="F50" s="351"/>
      <c r="G50" s="351"/>
      <c r="H50" s="98"/>
      <c r="I50" s="96" t="s">
        <v>363</v>
      </c>
      <c r="J50" s="137"/>
      <c r="K50" s="367" t="s">
        <v>409</v>
      </c>
      <c r="L50" s="368">
        <f>L41</f>
        <v>3691.4777012000004</v>
      </c>
    </row>
    <row r="51" spans="1:12" ht="15.75" customHeight="1">
      <c r="A51" s="95" t="s">
        <v>319</v>
      </c>
      <c r="B51" s="357" t="s">
        <v>410</v>
      </c>
      <c r="C51" s="357"/>
      <c r="D51" s="357"/>
      <c r="E51" s="357"/>
      <c r="F51" s="357"/>
      <c r="G51" s="357"/>
      <c r="H51" s="99" t="s">
        <v>303</v>
      </c>
      <c r="I51" s="128">
        <v>0</v>
      </c>
      <c r="J51" s="130">
        <f t="shared" ref="J51:J54" si="2">I51</f>
        <v>0</v>
      </c>
      <c r="K51" s="367"/>
      <c r="L51" s="368"/>
    </row>
    <row r="52" spans="1:12" ht="15.75" customHeight="1">
      <c r="A52" s="95" t="s">
        <v>322</v>
      </c>
      <c r="B52" s="357" t="s">
        <v>411</v>
      </c>
      <c r="C52" s="357"/>
      <c r="D52" s="357"/>
      <c r="E52" s="357"/>
      <c r="F52" s="357"/>
      <c r="G52" s="357"/>
      <c r="H52" s="63" t="s">
        <v>303</v>
      </c>
      <c r="I52" s="128">
        <v>473.82</v>
      </c>
      <c r="J52" s="130">
        <f t="shared" si="2"/>
        <v>473.82</v>
      </c>
      <c r="K52" s="367"/>
      <c r="L52" s="368"/>
    </row>
    <row r="53" spans="1:12" ht="15.75" customHeight="1">
      <c r="A53" s="95" t="s">
        <v>326</v>
      </c>
      <c r="B53" s="357" t="s">
        <v>412</v>
      </c>
      <c r="C53" s="357"/>
      <c r="D53" s="357"/>
      <c r="E53" s="357"/>
      <c r="F53" s="357"/>
      <c r="G53" s="357"/>
      <c r="H53" s="63" t="s">
        <v>303</v>
      </c>
      <c r="I53" s="128">
        <f>(52.15+78.22)*0.4</f>
        <v>52.148000000000003</v>
      </c>
      <c r="J53" s="130">
        <f t="shared" si="2"/>
        <v>52.148000000000003</v>
      </c>
      <c r="K53" s="153" t="s">
        <v>413</v>
      </c>
      <c r="L53" s="152">
        <f>I139</f>
        <v>4517.973</v>
      </c>
    </row>
    <row r="54" spans="1:12" ht="15.75" customHeight="1">
      <c r="A54" s="95" t="s">
        <v>330</v>
      </c>
      <c r="B54" s="357" t="s">
        <v>414</v>
      </c>
      <c r="C54" s="357"/>
      <c r="D54" s="357"/>
      <c r="E54" s="357"/>
      <c r="F54" s="357"/>
      <c r="G54" s="357"/>
      <c r="H54" s="63" t="s">
        <v>303</v>
      </c>
      <c r="I54" s="128">
        <f>ROUND((I23*26)*0.002/12,2)</f>
        <v>6.73</v>
      </c>
      <c r="J54" s="130">
        <f t="shared" si="2"/>
        <v>6.73</v>
      </c>
      <c r="K54" s="154" t="s">
        <v>415</v>
      </c>
      <c r="L54" s="155">
        <f>L41</f>
        <v>3691.4777012000004</v>
      </c>
    </row>
    <row r="55" spans="1:12" ht="15.75" customHeight="1">
      <c r="A55" s="351" t="s">
        <v>416</v>
      </c>
      <c r="B55" s="351"/>
      <c r="C55" s="351"/>
      <c r="D55" s="351"/>
      <c r="E55" s="351"/>
      <c r="F55" s="351"/>
      <c r="G55" s="351"/>
      <c r="H55" s="351"/>
      <c r="I55" s="129">
        <f>SUM(I51:I54)</f>
        <v>532.69799999999998</v>
      </c>
      <c r="J55" s="134"/>
      <c r="K55" s="156" t="s">
        <v>417</v>
      </c>
      <c r="L55" s="157">
        <f>L53-L54</f>
        <v>826.49529879999955</v>
      </c>
    </row>
    <row r="56" spans="1:12" ht="15.75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134"/>
      <c r="K56" s="158" t="s">
        <v>418</v>
      </c>
      <c r="L56" s="159">
        <f>SUM(I68:I71,I96,I104,I113)</f>
        <v>906.82500000000016</v>
      </c>
    </row>
    <row r="57" spans="1:12" ht="15.75" customHeight="1">
      <c r="A57" s="351" t="s">
        <v>419</v>
      </c>
      <c r="B57" s="351"/>
      <c r="C57" s="351"/>
      <c r="D57" s="351"/>
      <c r="E57" s="351"/>
      <c r="F57" s="351"/>
      <c r="G57" s="351"/>
      <c r="H57" s="351"/>
      <c r="I57" s="351"/>
      <c r="J57" s="134"/>
      <c r="K57" s="158" t="s">
        <v>420</v>
      </c>
      <c r="L57" s="160">
        <f>L55-L56</f>
        <v>-80.329701200000613</v>
      </c>
    </row>
    <row r="58" spans="1:12" ht="15.75" customHeight="1">
      <c r="A58" s="351" t="s">
        <v>421</v>
      </c>
      <c r="B58" s="351"/>
      <c r="C58" s="351"/>
      <c r="D58" s="351"/>
      <c r="E58" s="351"/>
      <c r="F58" s="351"/>
      <c r="G58" s="351"/>
      <c r="H58" s="351"/>
      <c r="I58" s="96" t="s">
        <v>363</v>
      </c>
      <c r="J58" s="134"/>
      <c r="K58" s="161" t="s">
        <v>422</v>
      </c>
      <c r="L58" s="162">
        <f>ROUND(L57*L49,2)</f>
        <v>-80.33</v>
      </c>
    </row>
    <row r="59" spans="1:12" ht="15.75" customHeight="1">
      <c r="A59" s="95" t="s">
        <v>215</v>
      </c>
      <c r="B59" s="352" t="s">
        <v>423</v>
      </c>
      <c r="C59" s="352"/>
      <c r="D59" s="352"/>
      <c r="E59" s="352"/>
      <c r="F59" s="352"/>
      <c r="G59" s="352"/>
      <c r="H59" s="352"/>
      <c r="I59" s="133">
        <f>I35</f>
        <v>317.47000000000003</v>
      </c>
      <c r="J59" s="134"/>
      <c r="K59" s="161" t="s">
        <v>424</v>
      </c>
      <c r="L59" s="162">
        <f>ROUND((L57*12)*L49,2)</f>
        <v>-963.96</v>
      </c>
    </row>
    <row r="60" spans="1:12" ht="15.75" customHeight="1">
      <c r="A60" s="95" t="s">
        <v>245</v>
      </c>
      <c r="B60" s="352" t="s">
        <v>425</v>
      </c>
      <c r="C60" s="352"/>
      <c r="D60" s="352"/>
      <c r="E60" s="352"/>
      <c r="F60" s="352"/>
      <c r="G60" s="352"/>
      <c r="H60" s="352"/>
      <c r="I60" s="133">
        <f>I48</f>
        <v>651.25</v>
      </c>
      <c r="J60" s="134"/>
      <c r="K60" s="372" t="s">
        <v>426</v>
      </c>
      <c r="L60" s="372"/>
    </row>
    <row r="61" spans="1:12" ht="15.75" customHeight="1">
      <c r="A61" s="95" t="s">
        <v>257</v>
      </c>
      <c r="B61" s="352" t="s">
        <v>427</v>
      </c>
      <c r="C61" s="352"/>
      <c r="D61" s="352"/>
      <c r="E61" s="352"/>
      <c r="F61" s="352"/>
      <c r="G61" s="352"/>
      <c r="H61" s="352"/>
      <c r="I61" s="133">
        <f>I55</f>
        <v>532.69799999999998</v>
      </c>
      <c r="J61" s="134"/>
      <c r="K61" s="372"/>
      <c r="L61" s="372"/>
    </row>
    <row r="62" spans="1:12" ht="15.75" customHeight="1">
      <c r="A62" s="351" t="s">
        <v>428</v>
      </c>
      <c r="B62" s="351"/>
      <c r="C62" s="351"/>
      <c r="D62" s="351"/>
      <c r="E62" s="351"/>
      <c r="F62" s="351"/>
      <c r="G62" s="351"/>
      <c r="H62" s="351"/>
      <c r="I62" s="129">
        <f>SUM(I59:I61)</f>
        <v>1501.4180000000001</v>
      </c>
      <c r="J62" s="134"/>
      <c r="K62" s="372"/>
      <c r="L62" s="372"/>
    </row>
    <row r="63" spans="1:12" ht="15.75" customHeight="1">
      <c r="A63" s="370" t="s">
        <v>429</v>
      </c>
      <c r="B63" s="370"/>
      <c r="C63" s="370"/>
      <c r="D63" s="370"/>
      <c r="E63" s="370"/>
      <c r="F63" s="370"/>
      <c r="G63" s="358" t="s">
        <v>386</v>
      </c>
      <c r="H63" s="358"/>
      <c r="I63" s="135">
        <f>I29</f>
        <v>1553.96</v>
      </c>
      <c r="J63" s="134"/>
      <c r="K63" s="372"/>
      <c r="L63" s="372"/>
    </row>
    <row r="64" spans="1:12" ht="15.75" customHeight="1">
      <c r="A64" s="370"/>
      <c r="B64" s="370"/>
      <c r="C64" s="370"/>
      <c r="D64" s="370"/>
      <c r="E64" s="370"/>
      <c r="F64" s="370"/>
      <c r="G64" s="358" t="s">
        <v>430</v>
      </c>
      <c r="H64" s="358"/>
      <c r="I64" s="135">
        <f>I62</f>
        <v>1501.4180000000001</v>
      </c>
      <c r="J64" s="134"/>
      <c r="K64" s="372"/>
      <c r="L64" s="372"/>
    </row>
    <row r="65" spans="1:12" ht="15.75" customHeight="1">
      <c r="A65" s="370"/>
      <c r="B65" s="370"/>
      <c r="C65" s="370"/>
      <c r="D65" s="370"/>
      <c r="E65" s="370"/>
      <c r="F65" s="370"/>
      <c r="G65" s="359" t="s">
        <v>389</v>
      </c>
      <c r="H65" s="359"/>
      <c r="I65" s="140">
        <f>SUM(I63:I64)</f>
        <v>3055.3780000000002</v>
      </c>
      <c r="J65" s="134"/>
      <c r="K65" s="372"/>
      <c r="L65" s="372"/>
    </row>
    <row r="66" spans="1:12" ht="27.75" customHeight="1">
      <c r="A66" s="351" t="s">
        <v>431</v>
      </c>
      <c r="B66" s="351"/>
      <c r="C66" s="351"/>
      <c r="D66" s="351"/>
      <c r="E66" s="351"/>
      <c r="F66" s="351"/>
      <c r="G66" s="351"/>
      <c r="H66" s="351"/>
      <c r="I66" s="351"/>
      <c r="J66" s="134"/>
      <c r="K66" s="372"/>
      <c r="L66" s="372"/>
    </row>
    <row r="67" spans="1:12" ht="15.75" customHeight="1">
      <c r="A67" s="95">
        <v>3</v>
      </c>
      <c r="B67" s="351" t="s">
        <v>432</v>
      </c>
      <c r="C67" s="351"/>
      <c r="D67" s="351"/>
      <c r="E67" s="351"/>
      <c r="F67" s="351"/>
      <c r="G67" s="351"/>
      <c r="H67" s="96" t="s">
        <v>362</v>
      </c>
      <c r="I67" s="96" t="s">
        <v>363</v>
      </c>
      <c r="J67" s="134"/>
      <c r="K67" s="372"/>
      <c r="L67" s="372"/>
    </row>
    <row r="68" spans="1:12" ht="15.75" customHeight="1">
      <c r="A68" s="95" t="s">
        <v>319</v>
      </c>
      <c r="B68" s="352" t="s">
        <v>433</v>
      </c>
      <c r="C68" s="352"/>
      <c r="D68" s="352"/>
      <c r="E68" s="352"/>
      <c r="F68" s="352"/>
      <c r="G68" s="352"/>
      <c r="H68" s="97">
        <f>ROUND(((1/12)*5%),4)</f>
        <v>4.1999999999999997E-3</v>
      </c>
      <c r="I68" s="133">
        <f>ROUND(H68*$I$65,2)</f>
        <v>12.83</v>
      </c>
      <c r="J68" s="134"/>
      <c r="K68" s="372"/>
      <c r="L68" s="372"/>
    </row>
    <row r="69" spans="1:12" ht="15.75" customHeight="1">
      <c r="A69" s="95" t="s">
        <v>322</v>
      </c>
      <c r="B69" s="352" t="s">
        <v>434</v>
      </c>
      <c r="C69" s="352"/>
      <c r="D69" s="352"/>
      <c r="E69" s="352"/>
      <c r="F69" s="352"/>
      <c r="G69" s="352"/>
      <c r="H69" s="97">
        <f>TRUNC(H68*H47,4)</f>
        <v>2.9999999999999997E-4</v>
      </c>
      <c r="I69" s="133">
        <f>ROUND(H69*$I$65,2)</f>
        <v>0.92</v>
      </c>
      <c r="J69" s="134"/>
      <c r="K69" s="372"/>
      <c r="L69" s="372"/>
    </row>
    <row r="70" spans="1:12" ht="15.75" customHeight="1">
      <c r="A70" s="95" t="s">
        <v>326</v>
      </c>
      <c r="B70" s="352" t="s">
        <v>435</v>
      </c>
      <c r="C70" s="352"/>
      <c r="D70" s="352"/>
      <c r="E70" s="352"/>
      <c r="F70" s="352"/>
      <c r="G70" s="352"/>
      <c r="H70" s="97">
        <f>ROUND(((7/30)/12)*95%,4)</f>
        <v>1.8499999999999999E-2</v>
      </c>
      <c r="I70" s="133">
        <f>ROUND(H70*$I$65,2)</f>
        <v>56.52</v>
      </c>
      <c r="J70" s="134"/>
      <c r="K70" s="109"/>
      <c r="L70" s="109"/>
    </row>
    <row r="71" spans="1:12" ht="15.75" customHeight="1">
      <c r="A71" s="95" t="s">
        <v>330</v>
      </c>
      <c r="B71" s="363" t="s">
        <v>436</v>
      </c>
      <c r="C71" s="363"/>
      <c r="D71" s="363"/>
      <c r="E71" s="363"/>
      <c r="F71" s="363"/>
      <c r="G71" s="363"/>
      <c r="H71" s="97">
        <f>ROUND(H70*H48,4)</f>
        <v>6.4000000000000003E-3</v>
      </c>
      <c r="I71" s="133">
        <f>ROUND(H71*$I$65,2)</f>
        <v>19.55</v>
      </c>
      <c r="J71" s="134"/>
      <c r="K71" s="109"/>
      <c r="L71" s="109"/>
    </row>
    <row r="72" spans="1:12" ht="15.75" customHeight="1">
      <c r="A72" s="95" t="s">
        <v>372</v>
      </c>
      <c r="B72" s="352" t="s">
        <v>437</v>
      </c>
      <c r="C72" s="352"/>
      <c r="D72" s="352"/>
      <c r="E72" s="352"/>
      <c r="F72" s="352"/>
      <c r="G72" s="352"/>
      <c r="H72" s="97">
        <v>0.04</v>
      </c>
      <c r="I72" s="133">
        <f>ROUND(H72*$I$65,2)</f>
        <v>122.22</v>
      </c>
      <c r="J72" s="130">
        <f>I72</f>
        <v>122.22</v>
      </c>
      <c r="K72" s="109"/>
      <c r="L72" s="109"/>
    </row>
    <row r="73" spans="1:12" ht="15.75" customHeight="1">
      <c r="A73" s="351" t="s">
        <v>438</v>
      </c>
      <c r="B73" s="351"/>
      <c r="C73" s="351"/>
      <c r="D73" s="351"/>
      <c r="E73" s="351"/>
      <c r="F73" s="351"/>
      <c r="G73" s="351"/>
      <c r="H73" s="98">
        <f>SUM(H68:H72)</f>
        <v>6.9400000000000003E-2</v>
      </c>
      <c r="I73" s="129">
        <f>SUM(I68:I72)</f>
        <v>212.04000000000002</v>
      </c>
      <c r="J73" s="134"/>
      <c r="K73" s="179"/>
      <c r="L73" s="109"/>
    </row>
    <row r="74" spans="1:12" ht="15.75" customHeight="1">
      <c r="A74" s="371" t="s">
        <v>439</v>
      </c>
      <c r="B74" s="371"/>
      <c r="C74" s="371"/>
      <c r="D74" s="371"/>
      <c r="E74" s="371"/>
      <c r="F74" s="371"/>
      <c r="G74" s="358" t="s">
        <v>386</v>
      </c>
      <c r="H74" s="358"/>
      <c r="I74" s="135">
        <f>I29</f>
        <v>1553.96</v>
      </c>
      <c r="J74" s="134"/>
      <c r="K74" s="179"/>
      <c r="L74" s="109"/>
    </row>
    <row r="75" spans="1:12" ht="15.75" customHeight="1">
      <c r="A75" s="371"/>
      <c r="B75" s="371"/>
      <c r="C75" s="371"/>
      <c r="D75" s="371"/>
      <c r="E75" s="371"/>
      <c r="F75" s="371"/>
      <c r="G75" s="358" t="s">
        <v>430</v>
      </c>
      <c r="H75" s="358"/>
      <c r="I75" s="135">
        <f>I62</f>
        <v>1501.4180000000001</v>
      </c>
      <c r="J75" s="134"/>
      <c r="K75" s="179"/>
      <c r="L75" s="109"/>
    </row>
    <row r="76" spans="1:12" ht="15.75" customHeight="1">
      <c r="A76" s="371"/>
      <c r="B76" s="371"/>
      <c r="C76" s="371"/>
      <c r="D76" s="371"/>
      <c r="E76" s="371"/>
      <c r="F76" s="371"/>
      <c r="G76" s="358" t="s">
        <v>440</v>
      </c>
      <c r="H76" s="358"/>
      <c r="I76" s="135">
        <f>I73</f>
        <v>212.04000000000002</v>
      </c>
      <c r="J76" s="134"/>
      <c r="K76" s="179"/>
      <c r="L76" s="109"/>
    </row>
    <row r="77" spans="1:12" ht="15.75" customHeight="1">
      <c r="A77" s="371"/>
      <c r="B77" s="371"/>
      <c r="C77" s="371"/>
      <c r="D77" s="371"/>
      <c r="E77" s="371"/>
      <c r="F77" s="371"/>
      <c r="G77" s="359" t="s">
        <v>389</v>
      </c>
      <c r="H77" s="359"/>
      <c r="I77" s="140">
        <f>SUM(I74:I76)</f>
        <v>3267.4180000000001</v>
      </c>
      <c r="J77" s="134"/>
      <c r="K77" s="179"/>
      <c r="L77" s="109"/>
    </row>
    <row r="78" spans="1:12" ht="15.75" customHeight="1">
      <c r="A78" s="351" t="s">
        <v>441</v>
      </c>
      <c r="B78" s="351"/>
      <c r="C78" s="351"/>
      <c r="D78" s="351"/>
      <c r="E78" s="351"/>
      <c r="F78" s="351"/>
      <c r="G78" s="351"/>
      <c r="H78" s="351"/>
      <c r="I78" s="351"/>
      <c r="J78" s="131"/>
      <c r="K78" s="179"/>
      <c r="L78" s="109"/>
    </row>
    <row r="79" spans="1:12" ht="15.75" customHeight="1">
      <c r="A79" s="351" t="s">
        <v>442</v>
      </c>
      <c r="B79" s="351"/>
      <c r="C79" s="351"/>
      <c r="D79" s="351"/>
      <c r="E79" s="351"/>
      <c r="F79" s="351"/>
      <c r="G79" s="351"/>
      <c r="H79" s="96" t="s">
        <v>362</v>
      </c>
      <c r="I79" s="96" t="s">
        <v>363</v>
      </c>
      <c r="J79" s="134"/>
      <c r="K79" s="179"/>
      <c r="L79" s="180"/>
    </row>
    <row r="80" spans="1:12" ht="15.75" customHeight="1">
      <c r="A80" s="95" t="s">
        <v>319</v>
      </c>
      <c r="B80" s="352" t="s">
        <v>443</v>
      </c>
      <c r="C80" s="352"/>
      <c r="D80" s="352"/>
      <c r="E80" s="352"/>
      <c r="F80" s="352"/>
      <c r="G80" s="352"/>
      <c r="H80" s="97">
        <f>ROUND(((1+1/3)/12)/12,4)</f>
        <v>9.2999999999999992E-3</v>
      </c>
      <c r="I80" s="133">
        <f t="shared" ref="I80:I85" si="3">ROUND(H80*$I$77,2)</f>
        <v>30.39</v>
      </c>
      <c r="J80" s="134"/>
      <c r="K80" s="179"/>
      <c r="L80" s="109"/>
    </row>
    <row r="81" spans="1:12" ht="15.75" customHeight="1">
      <c r="A81" s="95" t="s">
        <v>322</v>
      </c>
      <c r="B81" s="352" t="s">
        <v>444</v>
      </c>
      <c r="C81" s="352"/>
      <c r="D81" s="352"/>
      <c r="E81" s="352"/>
      <c r="F81" s="352"/>
      <c r="G81" s="352"/>
      <c r="H81" s="97">
        <f>ROUND(2/30/12,4)</f>
        <v>5.5999999999999999E-3</v>
      </c>
      <c r="I81" s="133">
        <f t="shared" si="3"/>
        <v>18.3</v>
      </c>
      <c r="J81" s="134"/>
      <c r="K81" s="109"/>
      <c r="L81" s="109"/>
    </row>
    <row r="82" spans="1:12" ht="15.75" customHeight="1">
      <c r="A82" s="95" t="s">
        <v>326</v>
      </c>
      <c r="B82" s="352" t="s">
        <v>445</v>
      </c>
      <c r="C82" s="352"/>
      <c r="D82" s="352"/>
      <c r="E82" s="352"/>
      <c r="F82" s="352"/>
      <c r="G82" s="352"/>
      <c r="H82" s="97">
        <f>ROUND(((5/30)/12)*2%,4)</f>
        <v>2.9999999999999997E-4</v>
      </c>
      <c r="I82" s="133">
        <f t="shared" si="3"/>
        <v>0.98</v>
      </c>
      <c r="J82" s="134"/>
      <c r="K82" s="109"/>
      <c r="L82" s="109"/>
    </row>
    <row r="83" spans="1:12" ht="15.75" customHeight="1">
      <c r="A83" s="95" t="s">
        <v>330</v>
      </c>
      <c r="B83" s="352" t="s">
        <v>446</v>
      </c>
      <c r="C83" s="352"/>
      <c r="D83" s="352"/>
      <c r="E83" s="352"/>
      <c r="F83" s="352"/>
      <c r="G83" s="352"/>
      <c r="H83" s="97">
        <f>ROUND(((15/30)/12)*8%,4)</f>
        <v>3.3E-3</v>
      </c>
      <c r="I83" s="133">
        <f t="shared" si="3"/>
        <v>10.78</v>
      </c>
      <c r="J83" s="134"/>
      <c r="K83" s="109"/>
      <c r="L83" s="109"/>
    </row>
    <row r="84" spans="1:12" ht="15.75" customHeight="1">
      <c r="A84" s="95" t="s">
        <v>372</v>
      </c>
      <c r="B84" s="352" t="s">
        <v>447</v>
      </c>
      <c r="C84" s="352"/>
      <c r="D84" s="352"/>
      <c r="E84" s="352"/>
      <c r="F84" s="352"/>
      <c r="G84" s="352"/>
      <c r="H84" s="97">
        <f>ROUND(((1+1/3)/12*4/12)*2%,4)</f>
        <v>6.9999999999999999E-4</v>
      </c>
      <c r="I84" s="133">
        <f t="shared" si="3"/>
        <v>2.29</v>
      </c>
      <c r="J84" s="134"/>
      <c r="K84" s="109"/>
      <c r="L84" s="109"/>
    </row>
    <row r="85" spans="1:12" ht="15.75" customHeight="1">
      <c r="A85" s="95" t="s">
        <v>374</v>
      </c>
      <c r="B85" s="352" t="s">
        <v>448</v>
      </c>
      <c r="C85" s="352"/>
      <c r="D85" s="352"/>
      <c r="E85" s="352"/>
      <c r="F85" s="352"/>
      <c r="G85" s="352"/>
      <c r="H85" s="97">
        <v>0</v>
      </c>
      <c r="I85" s="133">
        <f t="shared" si="3"/>
        <v>0</v>
      </c>
      <c r="J85" s="134"/>
      <c r="K85" s="109"/>
      <c r="L85" s="109"/>
    </row>
    <row r="86" spans="1:12" ht="15.75" customHeight="1">
      <c r="A86" s="351" t="s">
        <v>449</v>
      </c>
      <c r="B86" s="351"/>
      <c r="C86" s="351"/>
      <c r="D86" s="351"/>
      <c r="E86" s="351"/>
      <c r="F86" s="351"/>
      <c r="G86" s="351"/>
      <c r="H86" s="98">
        <f>SUM(H80:H85)</f>
        <v>1.9199999999999998E-2</v>
      </c>
      <c r="I86" s="129">
        <f>SUM(I80:I85)</f>
        <v>62.739999999999995</v>
      </c>
      <c r="J86" s="134"/>
      <c r="K86" s="109"/>
      <c r="L86" s="181"/>
    </row>
    <row r="87" spans="1:12" ht="15.75" customHeight="1">
      <c r="A87" s="362"/>
      <c r="B87" s="362"/>
      <c r="C87" s="362"/>
      <c r="D87" s="362"/>
      <c r="E87" s="362"/>
      <c r="F87" s="362"/>
      <c r="G87" s="362"/>
      <c r="H87" s="362"/>
      <c r="I87" s="362"/>
      <c r="J87" s="134"/>
      <c r="K87" s="182"/>
      <c r="L87" s="109"/>
    </row>
    <row r="88" spans="1:12" ht="15.75" customHeight="1">
      <c r="A88" s="351" t="s">
        <v>450</v>
      </c>
      <c r="B88" s="351"/>
      <c r="C88" s="351"/>
      <c r="D88" s="351"/>
      <c r="E88" s="351"/>
      <c r="F88" s="351"/>
      <c r="G88" s="351"/>
      <c r="H88" s="96" t="s">
        <v>362</v>
      </c>
      <c r="I88" s="96" t="s">
        <v>363</v>
      </c>
      <c r="J88" s="134"/>
      <c r="K88" s="109"/>
      <c r="L88" s="109"/>
    </row>
    <row r="89" spans="1:12" ht="15.75" customHeight="1">
      <c r="A89" s="95" t="s">
        <v>319</v>
      </c>
      <c r="B89" s="352" t="s">
        <v>451</v>
      </c>
      <c r="C89" s="352"/>
      <c r="D89" s="352"/>
      <c r="E89" s="352"/>
      <c r="F89" s="352"/>
      <c r="G89" s="352"/>
      <c r="H89" s="97">
        <v>0</v>
      </c>
      <c r="I89" s="133">
        <f>I29*H89</f>
        <v>0</v>
      </c>
      <c r="J89" s="134"/>
      <c r="K89" s="109"/>
      <c r="L89" s="109"/>
    </row>
    <row r="90" spans="1:12" ht="15.75" customHeight="1">
      <c r="A90" s="351" t="s">
        <v>452</v>
      </c>
      <c r="B90" s="351"/>
      <c r="C90" s="351"/>
      <c r="D90" s="351"/>
      <c r="E90" s="351"/>
      <c r="F90" s="351"/>
      <c r="G90" s="351"/>
      <c r="H90" s="98">
        <f>H89</f>
        <v>0</v>
      </c>
      <c r="I90" s="129">
        <f>I89</f>
        <v>0</v>
      </c>
      <c r="J90" s="134"/>
      <c r="K90" s="183"/>
      <c r="L90" s="109"/>
    </row>
    <row r="91" spans="1:12" ht="15.75" customHeight="1">
      <c r="A91" s="362"/>
      <c r="B91" s="362"/>
      <c r="C91" s="362"/>
      <c r="D91" s="362"/>
      <c r="E91" s="362"/>
      <c r="F91" s="362"/>
      <c r="G91" s="362"/>
      <c r="H91" s="362"/>
      <c r="I91" s="362"/>
      <c r="J91" s="134"/>
      <c r="K91" s="109"/>
      <c r="L91" s="109"/>
    </row>
    <row r="92" spans="1:12" ht="15.75" customHeight="1">
      <c r="A92" s="351" t="s">
        <v>453</v>
      </c>
      <c r="B92" s="351"/>
      <c r="C92" s="351"/>
      <c r="D92" s="351"/>
      <c r="E92" s="351"/>
      <c r="F92" s="351"/>
      <c r="G92" s="351"/>
      <c r="H92" s="351"/>
      <c r="I92" s="351"/>
      <c r="J92" s="134"/>
      <c r="K92" s="109"/>
      <c r="L92" s="109"/>
    </row>
    <row r="93" spans="1:12" ht="15.75" customHeight="1">
      <c r="A93" s="351" t="s">
        <v>454</v>
      </c>
      <c r="B93" s="351"/>
      <c r="C93" s="351"/>
      <c r="D93" s="351"/>
      <c r="E93" s="351"/>
      <c r="F93" s="351"/>
      <c r="G93" s="351"/>
      <c r="H93" s="351"/>
      <c r="I93" s="96" t="s">
        <v>363</v>
      </c>
      <c r="J93" s="134"/>
      <c r="K93" s="109"/>
      <c r="L93" s="109"/>
    </row>
    <row r="94" spans="1:12" ht="15.75" customHeight="1">
      <c r="A94" s="95" t="s">
        <v>455</v>
      </c>
      <c r="B94" s="352" t="s">
        <v>456</v>
      </c>
      <c r="C94" s="352"/>
      <c r="D94" s="352"/>
      <c r="E94" s="352"/>
      <c r="F94" s="352"/>
      <c r="G94" s="352"/>
      <c r="H94" s="352"/>
      <c r="I94" s="133">
        <f>I86</f>
        <v>62.739999999999995</v>
      </c>
      <c r="J94" s="134"/>
      <c r="K94" s="109"/>
      <c r="L94" s="109"/>
    </row>
    <row r="95" spans="1:12" ht="15.75" customHeight="1">
      <c r="A95" s="95" t="s">
        <v>457</v>
      </c>
      <c r="B95" s="352" t="s">
        <v>458</v>
      </c>
      <c r="C95" s="352"/>
      <c r="D95" s="352"/>
      <c r="E95" s="352"/>
      <c r="F95" s="352"/>
      <c r="G95" s="352"/>
      <c r="H95" s="352"/>
      <c r="I95" s="133">
        <f>I90</f>
        <v>0</v>
      </c>
      <c r="J95" s="134"/>
      <c r="K95" s="109"/>
      <c r="L95" s="109"/>
    </row>
    <row r="96" spans="1:12" ht="15.75" customHeight="1">
      <c r="A96" s="351" t="s">
        <v>459</v>
      </c>
      <c r="B96" s="351"/>
      <c r="C96" s="351"/>
      <c r="D96" s="351"/>
      <c r="E96" s="351"/>
      <c r="F96" s="351"/>
      <c r="G96" s="351"/>
      <c r="H96" s="351"/>
      <c r="I96" s="129">
        <f>SUM(I94:I95)</f>
        <v>62.739999999999995</v>
      </c>
      <c r="J96" s="134"/>
      <c r="K96" s="109"/>
      <c r="L96" s="109"/>
    </row>
    <row r="97" spans="1:12" ht="15.75" customHeight="1">
      <c r="A97" s="362"/>
      <c r="B97" s="362"/>
      <c r="C97" s="362"/>
      <c r="D97" s="362"/>
      <c r="E97" s="362"/>
      <c r="F97" s="362"/>
      <c r="G97" s="362"/>
      <c r="H97" s="362"/>
      <c r="I97" s="362"/>
      <c r="J97" s="134"/>
      <c r="K97" s="109"/>
      <c r="L97" s="109"/>
    </row>
    <row r="98" spans="1:12" ht="15.75" customHeight="1">
      <c r="A98" s="351" t="s">
        <v>460</v>
      </c>
      <c r="B98" s="351"/>
      <c r="C98" s="351"/>
      <c r="D98" s="351"/>
      <c r="E98" s="351"/>
      <c r="F98" s="351"/>
      <c r="G98" s="351"/>
      <c r="H98" s="351"/>
      <c r="I98" s="351"/>
      <c r="J98" s="134"/>
      <c r="K98" s="109"/>
      <c r="L98" s="109"/>
    </row>
    <row r="99" spans="1:12" ht="15.75" customHeight="1">
      <c r="A99" s="96">
        <v>5</v>
      </c>
      <c r="B99" s="351" t="s">
        <v>461</v>
      </c>
      <c r="C99" s="351"/>
      <c r="D99" s="351"/>
      <c r="E99" s="351"/>
      <c r="F99" s="351"/>
      <c r="G99" s="351"/>
      <c r="H99" s="96"/>
      <c r="I99" s="96" t="s">
        <v>363</v>
      </c>
      <c r="J99" s="134"/>
      <c r="K99" s="109"/>
      <c r="L99" s="109"/>
    </row>
    <row r="100" spans="1:12" ht="15.75" customHeight="1">
      <c r="A100" s="163" t="s">
        <v>319</v>
      </c>
      <c r="B100" s="357" t="s">
        <v>462</v>
      </c>
      <c r="C100" s="357"/>
      <c r="D100" s="357"/>
      <c r="E100" s="357"/>
      <c r="F100" s="357"/>
      <c r="G100" s="357"/>
      <c r="H100" s="164" t="s">
        <v>303</v>
      </c>
      <c r="I100" s="403">
        <v>625.34</v>
      </c>
      <c r="J100" s="134"/>
      <c r="K100" s="109"/>
      <c r="L100" s="109"/>
    </row>
    <row r="101" spans="1:12" ht="15.75" customHeight="1">
      <c r="A101" s="163" t="s">
        <v>322</v>
      </c>
      <c r="B101" s="357" t="s">
        <v>463</v>
      </c>
      <c r="C101" s="357"/>
      <c r="D101" s="357"/>
      <c r="E101" s="357"/>
      <c r="F101" s="357"/>
      <c r="G101" s="357"/>
      <c r="H101" s="164" t="s">
        <v>303</v>
      </c>
      <c r="I101" s="133">
        <f>EPIS!F23</f>
        <v>35.575000000000003</v>
      </c>
      <c r="J101" s="134"/>
      <c r="K101" s="109"/>
      <c r="L101" s="109"/>
    </row>
    <row r="102" spans="1:12" ht="15.75" customHeight="1">
      <c r="A102" s="163" t="s">
        <v>326</v>
      </c>
      <c r="B102" s="357" t="s">
        <v>464</v>
      </c>
      <c r="C102" s="357"/>
      <c r="D102" s="357"/>
      <c r="E102" s="357"/>
      <c r="F102" s="357"/>
      <c r="G102" s="357"/>
      <c r="H102" s="164" t="s">
        <v>303</v>
      </c>
      <c r="I102" s="403">
        <v>32.08</v>
      </c>
      <c r="J102" s="134"/>
      <c r="K102" s="109"/>
      <c r="L102" s="109"/>
    </row>
    <row r="103" spans="1:12" ht="15.75" customHeight="1">
      <c r="A103" s="163" t="s">
        <v>330</v>
      </c>
      <c r="B103" s="357" t="s">
        <v>465</v>
      </c>
      <c r="C103" s="357"/>
      <c r="D103" s="357"/>
      <c r="E103" s="357"/>
      <c r="F103" s="357"/>
      <c r="G103" s="357"/>
      <c r="H103" s="165" t="s">
        <v>303</v>
      </c>
      <c r="I103" s="403">
        <v>0.91</v>
      </c>
      <c r="J103" s="134"/>
      <c r="K103" s="109"/>
      <c r="L103" s="109"/>
    </row>
    <row r="104" spans="1:12" ht="15.75" customHeight="1">
      <c r="A104" s="351" t="s">
        <v>466</v>
      </c>
      <c r="B104" s="351"/>
      <c r="C104" s="351"/>
      <c r="D104" s="351"/>
      <c r="E104" s="351"/>
      <c r="F104" s="351"/>
      <c r="G104" s="351"/>
      <c r="H104" s="98" t="s">
        <v>303</v>
      </c>
      <c r="I104" s="129">
        <f>SUM(I100:I103)</f>
        <v>693.90500000000009</v>
      </c>
      <c r="J104" s="134"/>
      <c r="K104" s="109"/>
      <c r="L104" s="109"/>
    </row>
    <row r="105" spans="1:12" ht="15.75" customHeight="1">
      <c r="A105" s="371" t="s">
        <v>467</v>
      </c>
      <c r="B105" s="371"/>
      <c r="C105" s="371"/>
      <c r="D105" s="371"/>
      <c r="E105" s="371"/>
      <c r="F105" s="371"/>
      <c r="G105" s="358" t="s">
        <v>386</v>
      </c>
      <c r="H105" s="358"/>
      <c r="I105" s="135">
        <f>I29</f>
        <v>1553.96</v>
      </c>
      <c r="J105" s="134"/>
      <c r="K105" s="109"/>
      <c r="L105" s="109"/>
    </row>
    <row r="106" spans="1:12" ht="15.75" customHeight="1">
      <c r="A106" s="371"/>
      <c r="B106" s="371"/>
      <c r="C106" s="371"/>
      <c r="D106" s="371"/>
      <c r="E106" s="371"/>
      <c r="F106" s="371"/>
      <c r="G106" s="358" t="s">
        <v>430</v>
      </c>
      <c r="H106" s="358"/>
      <c r="I106" s="135">
        <f>I62</f>
        <v>1501.4180000000001</v>
      </c>
      <c r="J106" s="134"/>
      <c r="K106" s="109"/>
      <c r="L106" s="109"/>
    </row>
    <row r="107" spans="1:12" ht="15.75" customHeight="1">
      <c r="A107" s="371"/>
      <c r="B107" s="371"/>
      <c r="C107" s="371"/>
      <c r="D107" s="371"/>
      <c r="E107" s="371"/>
      <c r="F107" s="371"/>
      <c r="G107" s="358" t="s">
        <v>440</v>
      </c>
      <c r="H107" s="358"/>
      <c r="I107" s="135">
        <f>I73</f>
        <v>212.04000000000002</v>
      </c>
      <c r="J107" s="134"/>
      <c r="K107" s="109"/>
      <c r="L107" s="109"/>
    </row>
    <row r="108" spans="1:12" ht="15.75" customHeight="1">
      <c r="A108" s="371"/>
      <c r="B108" s="371"/>
      <c r="C108" s="371"/>
      <c r="D108" s="371"/>
      <c r="E108" s="371"/>
      <c r="F108" s="371"/>
      <c r="G108" s="358" t="s">
        <v>468</v>
      </c>
      <c r="H108" s="358"/>
      <c r="I108" s="135">
        <f>I96</f>
        <v>62.739999999999995</v>
      </c>
      <c r="J108" s="134"/>
      <c r="K108" s="141"/>
      <c r="L108" s="141"/>
    </row>
    <row r="109" spans="1:12" ht="15.75" customHeight="1">
      <c r="A109" s="371"/>
      <c r="B109" s="371"/>
      <c r="C109" s="371"/>
      <c r="D109" s="371"/>
      <c r="E109" s="371"/>
      <c r="F109" s="371"/>
      <c r="G109" s="358" t="s">
        <v>469</v>
      </c>
      <c r="H109" s="358"/>
      <c r="I109" s="135">
        <f>I104</f>
        <v>693.90500000000009</v>
      </c>
      <c r="J109" s="134"/>
      <c r="K109" s="141"/>
      <c r="L109" s="141"/>
    </row>
    <row r="110" spans="1:12" ht="15.75" customHeight="1">
      <c r="A110" s="371"/>
      <c r="B110" s="371"/>
      <c r="C110" s="371"/>
      <c r="D110" s="371"/>
      <c r="E110" s="371"/>
      <c r="F110" s="371"/>
      <c r="G110" s="359" t="s">
        <v>389</v>
      </c>
      <c r="H110" s="359"/>
      <c r="I110" s="140">
        <f>SUM(I105:I109)</f>
        <v>4024.0630000000001</v>
      </c>
      <c r="J110" s="134"/>
      <c r="K110" s="109"/>
      <c r="L110" s="109"/>
    </row>
    <row r="111" spans="1:12" ht="15.75" customHeight="1">
      <c r="A111" s="351" t="s">
        <v>470</v>
      </c>
      <c r="B111" s="351"/>
      <c r="C111" s="351"/>
      <c r="D111" s="351"/>
      <c r="E111" s="351"/>
      <c r="F111" s="351"/>
      <c r="G111" s="351"/>
      <c r="H111" s="351"/>
      <c r="I111" s="351"/>
      <c r="J111" s="134"/>
      <c r="K111" s="109"/>
      <c r="L111" s="109"/>
    </row>
    <row r="112" spans="1:12" ht="15.75" customHeight="1">
      <c r="A112" s="96">
        <v>6</v>
      </c>
      <c r="B112" s="351" t="s">
        <v>471</v>
      </c>
      <c r="C112" s="351"/>
      <c r="D112" s="351"/>
      <c r="E112" s="351"/>
      <c r="F112" s="351"/>
      <c r="G112" s="351"/>
      <c r="H112" s="96" t="s">
        <v>362</v>
      </c>
      <c r="I112" s="96" t="s">
        <v>363</v>
      </c>
      <c r="J112" s="134"/>
      <c r="K112" s="109"/>
      <c r="L112" s="109"/>
    </row>
    <row r="113" spans="1:12" ht="15.75" customHeight="1">
      <c r="A113" s="95" t="s">
        <v>319</v>
      </c>
      <c r="B113" s="352" t="s">
        <v>472</v>
      </c>
      <c r="C113" s="352"/>
      <c r="D113" s="352"/>
      <c r="E113" s="352"/>
      <c r="F113" s="352"/>
      <c r="G113" s="352"/>
      <c r="H113" s="404">
        <v>1.4999999999999999E-2</v>
      </c>
      <c r="I113" s="133">
        <f>ROUND(H113*I110,2)</f>
        <v>60.36</v>
      </c>
      <c r="J113" s="134"/>
      <c r="K113" s="109"/>
      <c r="L113" s="109"/>
    </row>
    <row r="114" spans="1:12" ht="15.75" customHeight="1">
      <c r="A114" s="95" t="s">
        <v>322</v>
      </c>
      <c r="B114" s="352" t="s">
        <v>473</v>
      </c>
      <c r="C114" s="352"/>
      <c r="D114" s="352"/>
      <c r="E114" s="352"/>
      <c r="F114" s="352"/>
      <c r="G114" s="352"/>
      <c r="H114" s="404">
        <v>1.4999999999999999E-2</v>
      </c>
      <c r="I114" s="133">
        <f>ROUND(H114*(I110+I113),2)</f>
        <v>61.27</v>
      </c>
      <c r="J114" s="134"/>
      <c r="K114" s="109"/>
      <c r="L114" s="109"/>
    </row>
    <row r="115" spans="1:12" ht="15.75" customHeight="1">
      <c r="A115" s="95" t="s">
        <v>326</v>
      </c>
      <c r="B115" s="364" t="s">
        <v>474</v>
      </c>
      <c r="C115" s="364"/>
      <c r="D115" s="364"/>
      <c r="E115" s="364"/>
      <c r="F115" s="364"/>
      <c r="G115" s="364"/>
      <c r="H115" s="97"/>
      <c r="I115" s="184"/>
      <c r="J115" s="134"/>
      <c r="K115" s="109"/>
      <c r="L115" s="109"/>
    </row>
    <row r="116" spans="1:12" ht="15.75" customHeight="1">
      <c r="A116" s="95" t="s">
        <v>475</v>
      </c>
      <c r="B116" s="352" t="s">
        <v>476</v>
      </c>
      <c r="C116" s="352"/>
      <c r="D116" s="352"/>
      <c r="E116" s="352"/>
      <c r="F116" s="352"/>
      <c r="G116" s="352"/>
      <c r="H116" s="404">
        <v>5.7999999999999996E-3</v>
      </c>
      <c r="I116" s="133">
        <f>ROUND($I$126*H116,2)</f>
        <v>26.2</v>
      </c>
      <c r="J116" s="134"/>
      <c r="K116" s="109"/>
      <c r="L116" s="109"/>
    </row>
    <row r="117" spans="1:12" ht="15.75" customHeight="1">
      <c r="A117" s="95" t="s">
        <v>477</v>
      </c>
      <c r="B117" s="352" t="s">
        <v>376</v>
      </c>
      <c r="C117" s="352"/>
      <c r="D117" s="352"/>
      <c r="E117" s="352"/>
      <c r="F117" s="352"/>
      <c r="G117" s="352"/>
      <c r="H117" s="404">
        <v>2.6599999999999999E-2</v>
      </c>
      <c r="I117" s="133">
        <f>ROUND($I$126*H117,2)</f>
        <v>120.18</v>
      </c>
      <c r="J117" s="134"/>
      <c r="K117" s="109"/>
      <c r="L117" s="109"/>
    </row>
    <row r="118" spans="1:12" ht="15.75" customHeight="1">
      <c r="A118" s="95" t="s">
        <v>478</v>
      </c>
      <c r="B118" s="352" t="s">
        <v>479</v>
      </c>
      <c r="C118" s="352"/>
      <c r="D118" s="352"/>
      <c r="E118" s="352"/>
      <c r="F118" s="352"/>
      <c r="G118" s="352"/>
      <c r="H118" s="167">
        <v>0.05</v>
      </c>
      <c r="I118" s="133">
        <f>ROUND($I$126*H118,2)</f>
        <v>225.9</v>
      </c>
      <c r="J118" s="134"/>
      <c r="K118" s="109"/>
      <c r="L118" s="109"/>
    </row>
    <row r="119" spans="1:12" ht="15.75" customHeight="1">
      <c r="A119" s="351" t="s">
        <v>480</v>
      </c>
      <c r="B119" s="351"/>
      <c r="C119" s="351"/>
      <c r="D119" s="351"/>
      <c r="E119" s="351"/>
      <c r="F119" s="351"/>
      <c r="G119" s="351"/>
      <c r="H119" s="168">
        <f>SUM(H113:H118)</f>
        <v>0.1124</v>
      </c>
      <c r="I119" s="129">
        <f>SUM(I113:I118)</f>
        <v>493.90999999999997</v>
      </c>
      <c r="J119" s="134"/>
      <c r="K119" s="109"/>
      <c r="L119" s="109"/>
    </row>
    <row r="120" spans="1:12" ht="8.1" customHeight="1">
      <c r="A120" s="169"/>
      <c r="B120" s="170"/>
      <c r="C120" s="170"/>
      <c r="D120" s="170"/>
      <c r="E120" s="170"/>
      <c r="F120" s="170"/>
      <c r="G120" s="170"/>
      <c r="H120" s="171"/>
      <c r="I120" s="185"/>
      <c r="J120" s="134"/>
      <c r="K120" s="109"/>
      <c r="L120" s="109"/>
    </row>
    <row r="121" spans="1:12" ht="15.75" customHeight="1">
      <c r="A121" s="172" t="s">
        <v>481</v>
      </c>
      <c r="B121" s="365" t="s">
        <v>482</v>
      </c>
      <c r="C121" s="365"/>
      <c r="D121" s="365"/>
      <c r="E121" s="365"/>
      <c r="F121" s="365"/>
      <c r="G121" s="365"/>
      <c r="H121" s="174">
        <f>SUM(H116+H117+H118)</f>
        <v>8.2400000000000001E-2</v>
      </c>
      <c r="I121" s="186"/>
      <c r="J121" s="134"/>
      <c r="K121" s="109"/>
      <c r="L121" s="109"/>
    </row>
    <row r="122" spans="1:12" ht="15.75" customHeight="1">
      <c r="A122" s="172"/>
      <c r="B122" s="365">
        <v>100</v>
      </c>
      <c r="C122" s="365"/>
      <c r="D122" s="365"/>
      <c r="E122" s="365"/>
      <c r="F122" s="365"/>
      <c r="G122" s="365"/>
      <c r="H122" s="174"/>
      <c r="I122" s="186"/>
      <c r="J122" s="134"/>
      <c r="K122" s="109"/>
      <c r="L122" s="109"/>
    </row>
    <row r="123" spans="1:12" ht="15.75" customHeight="1">
      <c r="A123" s="175"/>
      <c r="B123" s="176"/>
      <c r="C123" s="176"/>
      <c r="D123" s="176"/>
      <c r="E123" s="176"/>
      <c r="F123" s="176"/>
      <c r="G123" s="176"/>
      <c r="H123" s="176"/>
      <c r="I123" s="187"/>
      <c r="J123" s="134"/>
      <c r="K123" s="141"/>
      <c r="L123" s="141"/>
    </row>
    <row r="124" spans="1:12" ht="15.75" customHeight="1">
      <c r="A124" s="172" t="s">
        <v>483</v>
      </c>
      <c r="B124" s="365" t="s">
        <v>484</v>
      </c>
      <c r="C124" s="365"/>
      <c r="D124" s="365"/>
      <c r="E124" s="365"/>
      <c r="F124" s="365"/>
      <c r="G124" s="365"/>
      <c r="H124" s="174"/>
      <c r="I124" s="186">
        <f>I110+I113+I114</f>
        <v>4145.6930000000002</v>
      </c>
      <c r="J124" s="134"/>
      <c r="K124" s="109"/>
      <c r="L124" s="109"/>
    </row>
    <row r="125" spans="1:12" ht="15.75" customHeight="1">
      <c r="A125" s="177"/>
      <c r="B125" s="178"/>
      <c r="C125" s="178"/>
      <c r="D125" s="178"/>
      <c r="E125" s="178"/>
      <c r="F125" s="178"/>
      <c r="G125" s="178"/>
      <c r="H125" s="178"/>
      <c r="I125" s="188"/>
      <c r="J125" s="134"/>
      <c r="K125" s="109"/>
      <c r="L125" s="109"/>
    </row>
    <row r="126" spans="1:12" ht="15.75" customHeight="1">
      <c r="A126" s="172" t="s">
        <v>485</v>
      </c>
      <c r="B126" s="365" t="s">
        <v>486</v>
      </c>
      <c r="C126" s="365"/>
      <c r="D126" s="365"/>
      <c r="E126" s="365"/>
      <c r="F126" s="365"/>
      <c r="G126" s="365"/>
      <c r="H126" s="174"/>
      <c r="I126" s="186">
        <f>ROUND(I124/(1-H121),2)</f>
        <v>4517.97</v>
      </c>
      <c r="J126" s="134"/>
      <c r="K126" s="109"/>
      <c r="L126" s="109"/>
    </row>
    <row r="127" spans="1:12" ht="15.75" customHeight="1">
      <c r="A127" s="172"/>
      <c r="B127" s="173"/>
      <c r="C127" s="173"/>
      <c r="D127" s="173"/>
      <c r="E127" s="173"/>
      <c r="F127" s="173"/>
      <c r="G127" s="173"/>
      <c r="H127" s="174"/>
      <c r="I127" s="186"/>
      <c r="J127" s="134"/>
      <c r="K127" s="109"/>
      <c r="L127" s="109"/>
    </row>
    <row r="128" spans="1:12" ht="15.75" customHeight="1">
      <c r="A128" s="172"/>
      <c r="B128" s="365" t="s">
        <v>487</v>
      </c>
      <c r="C128" s="365"/>
      <c r="D128" s="365"/>
      <c r="E128" s="365"/>
      <c r="F128" s="365"/>
      <c r="G128" s="365"/>
      <c r="H128" s="174"/>
      <c r="I128" s="186">
        <f>I126-I124</f>
        <v>372.27700000000004</v>
      </c>
      <c r="J128" s="134"/>
      <c r="K128" s="109"/>
      <c r="L128" s="109"/>
    </row>
    <row r="129" spans="1:12" ht="8.1" customHeight="1">
      <c r="A129" s="172"/>
      <c r="B129" s="173"/>
      <c r="H129" s="174"/>
      <c r="I129" s="186"/>
      <c r="J129" s="134"/>
      <c r="K129" s="109"/>
      <c r="L129" s="109"/>
    </row>
    <row r="130" spans="1:12" ht="15.75" customHeight="1">
      <c r="A130" s="351" t="s">
        <v>488</v>
      </c>
      <c r="B130" s="351"/>
      <c r="C130" s="351"/>
      <c r="D130" s="351"/>
      <c r="E130" s="351"/>
      <c r="F130" s="351"/>
      <c r="G130" s="351"/>
      <c r="H130" s="351"/>
      <c r="I130" s="351"/>
      <c r="J130" s="134"/>
      <c r="K130" s="109"/>
      <c r="L130" s="109"/>
    </row>
    <row r="131" spans="1:12" ht="15.75" customHeight="1">
      <c r="A131" s="351" t="s">
        <v>489</v>
      </c>
      <c r="B131" s="351"/>
      <c r="C131" s="351"/>
      <c r="D131" s="351"/>
      <c r="E131" s="351"/>
      <c r="F131" s="351"/>
      <c r="G131" s="351"/>
      <c r="H131" s="351"/>
      <c r="I131" s="96" t="s">
        <v>363</v>
      </c>
      <c r="J131" s="134"/>
      <c r="K131" s="141"/>
      <c r="L131" s="141"/>
    </row>
    <row r="132" spans="1:12" ht="15.75" customHeight="1">
      <c r="A132" s="63" t="s">
        <v>319</v>
      </c>
      <c r="B132" s="352" t="str">
        <f>A21</f>
        <v>MÓDULO 1 - COMPOSIÇÃO DA REMUNERAÇÃO</v>
      </c>
      <c r="C132" s="352"/>
      <c r="D132" s="352"/>
      <c r="E132" s="352"/>
      <c r="F132" s="352"/>
      <c r="G132" s="352"/>
      <c r="H132" s="352"/>
      <c r="I132" s="189">
        <f>I29</f>
        <v>1553.96</v>
      </c>
      <c r="J132" s="134"/>
      <c r="K132" s="141"/>
      <c r="L132" s="141"/>
    </row>
    <row r="133" spans="1:12" ht="15.75" customHeight="1">
      <c r="A133" s="63" t="s">
        <v>322</v>
      </c>
      <c r="B133" s="352" t="str">
        <f>A31</f>
        <v>MÓDULO 2 – ENCARGOS E BENEFÍCIOS ANUAIS, MENSAIS E DIÁRIOS</v>
      </c>
      <c r="C133" s="352"/>
      <c r="D133" s="352"/>
      <c r="E133" s="352"/>
      <c r="F133" s="352"/>
      <c r="G133" s="352"/>
      <c r="H133" s="352"/>
      <c r="I133" s="189">
        <f>I62</f>
        <v>1501.4180000000001</v>
      </c>
      <c r="J133" s="134"/>
      <c r="K133" s="141"/>
      <c r="L133" s="141"/>
    </row>
    <row r="134" spans="1:12" ht="15.75" customHeight="1">
      <c r="A134" s="63" t="s">
        <v>326</v>
      </c>
      <c r="B134" s="352" t="str">
        <f>A66</f>
        <v>MÓDULO 3 – PROVISÃO PARA RESCISÃO</v>
      </c>
      <c r="C134" s="352"/>
      <c r="D134" s="352"/>
      <c r="E134" s="352"/>
      <c r="F134" s="352"/>
      <c r="G134" s="352"/>
      <c r="H134" s="352"/>
      <c r="I134" s="189">
        <f>I73</f>
        <v>212.04000000000002</v>
      </c>
      <c r="J134" s="134"/>
      <c r="K134" s="100"/>
      <c r="L134" s="100"/>
    </row>
    <row r="135" spans="1:12" ht="15.75" customHeight="1">
      <c r="A135" s="63" t="s">
        <v>330</v>
      </c>
      <c r="B135" s="352" t="str">
        <f>A78</f>
        <v>MÓDULO 4 – CUSTO DE REPOSIÇÃO DO PROFISSIONAL AUSENTE</v>
      </c>
      <c r="C135" s="352"/>
      <c r="D135" s="352"/>
      <c r="E135" s="352"/>
      <c r="F135" s="352"/>
      <c r="G135" s="352"/>
      <c r="H135" s="352"/>
      <c r="I135" s="189">
        <f>I96</f>
        <v>62.739999999999995</v>
      </c>
      <c r="J135" s="190"/>
      <c r="K135" s="100"/>
      <c r="L135" s="100"/>
    </row>
    <row r="136" spans="1:12" ht="15.75" customHeight="1">
      <c r="A136" s="63" t="s">
        <v>372</v>
      </c>
      <c r="B136" s="352" t="str">
        <f>A98</f>
        <v>MÓDULO 5 – INSUMOS DIVERSOS</v>
      </c>
      <c r="C136" s="352"/>
      <c r="D136" s="352"/>
      <c r="E136" s="352"/>
      <c r="F136" s="352"/>
      <c r="G136" s="352"/>
      <c r="H136" s="352"/>
      <c r="I136" s="189">
        <f>I104</f>
        <v>693.90500000000009</v>
      </c>
      <c r="J136" s="134"/>
      <c r="K136" s="100"/>
      <c r="L136" s="100"/>
    </row>
    <row r="137" spans="1:12" ht="15.75" customHeight="1">
      <c r="A137" s="351" t="s">
        <v>490</v>
      </c>
      <c r="B137" s="351"/>
      <c r="C137" s="351"/>
      <c r="D137" s="351"/>
      <c r="E137" s="351"/>
      <c r="F137" s="351"/>
      <c r="G137" s="351"/>
      <c r="H137" s="351"/>
      <c r="I137" s="129">
        <f>SUM(I132:I136)</f>
        <v>4024.0630000000001</v>
      </c>
      <c r="J137" s="134"/>
    </row>
    <row r="138" spans="1:12" ht="15.75" customHeight="1">
      <c r="A138" s="63" t="s">
        <v>374</v>
      </c>
      <c r="B138" s="352" t="str">
        <f>A111</f>
        <v>MÓDULO 6 – CUSTOS INDIRETOS, TRIBUTOS E LUCRO</v>
      </c>
      <c r="C138" s="352"/>
      <c r="D138" s="352"/>
      <c r="E138" s="352"/>
      <c r="F138" s="352"/>
      <c r="G138" s="352"/>
      <c r="H138" s="352"/>
      <c r="I138" s="189">
        <f>I119</f>
        <v>493.90999999999997</v>
      </c>
      <c r="J138" s="191">
        <f>SUM(J28:J137)</f>
        <v>2851.2740400000002</v>
      </c>
    </row>
    <row r="139" spans="1:12" ht="15.75" customHeight="1">
      <c r="A139" s="351" t="s">
        <v>491</v>
      </c>
      <c r="B139" s="351"/>
      <c r="C139" s="351"/>
      <c r="D139" s="351"/>
      <c r="E139" s="351"/>
      <c r="F139" s="351"/>
      <c r="G139" s="351"/>
      <c r="H139" s="351"/>
      <c r="I139" s="129">
        <f>SUM(I137:I138)</f>
        <v>4517.973</v>
      </c>
    </row>
    <row r="140" spans="1:12" ht="15.75" customHeight="1"/>
    <row r="141" spans="1:12" ht="15.75" customHeight="1"/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4" firstPageNumber="0" orientation="portrait" useFirstPageNumber="1" horizontalDpi="300" verticalDpi="300"/>
  <rowBreaks count="1" manualBreakCount="1">
    <brk id="140" max="16383" man="1"/>
  </rowBreak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997"/>
  <sheetViews>
    <sheetView topLeftCell="A82" zoomScale="60" zoomScaleNormal="60" workbookViewId="0">
      <selection activeCell="B114" sqref="B114:G114"/>
    </sheetView>
  </sheetViews>
  <sheetFormatPr defaultColWidth="9" defaultRowHeight="15"/>
  <cols>
    <col min="1" max="1" width="7.42578125" customWidth="1"/>
    <col min="2" max="2" width="9" customWidth="1"/>
    <col min="3" max="3" width="14.28515625" customWidth="1"/>
    <col min="4" max="4" width="11.85546875" customWidth="1"/>
    <col min="5" max="5" width="12.42578125" customWidth="1"/>
    <col min="6" max="6" width="11.28515625" customWidth="1"/>
    <col min="7" max="7" width="14.42578125" customWidth="1"/>
    <col min="8" max="8" width="14.7109375" customWidth="1"/>
    <col min="9" max="9" width="28.5703125" customWidth="1"/>
    <col min="10" max="10" width="23.42578125" customWidth="1"/>
    <col min="11" max="11" width="33" customWidth="1"/>
    <col min="12" max="12" width="30" customWidth="1"/>
    <col min="13" max="1025" width="14.42578125" customWidth="1"/>
  </cols>
  <sheetData>
    <row r="1" spans="1:12" ht="15.75">
      <c r="A1" s="348" t="s">
        <v>507</v>
      </c>
      <c r="B1" s="348"/>
      <c r="C1" s="348"/>
      <c r="D1" s="348"/>
      <c r="E1" s="348"/>
      <c r="F1" s="348"/>
      <c r="G1" s="348"/>
      <c r="H1" s="348"/>
      <c r="I1" s="348"/>
      <c r="J1" s="366" t="s">
        <v>315</v>
      </c>
      <c r="K1" s="100"/>
      <c r="L1" s="100"/>
    </row>
    <row r="2" spans="1:12" ht="15.75">
      <c r="A2" s="349"/>
      <c r="B2" s="349"/>
      <c r="C2" s="349"/>
      <c r="D2" s="349"/>
      <c r="E2" s="349"/>
      <c r="F2" s="349"/>
      <c r="G2" s="349"/>
      <c r="H2" s="349"/>
      <c r="I2" s="349"/>
      <c r="J2" s="366"/>
      <c r="K2" s="100"/>
      <c r="L2" s="100"/>
    </row>
    <row r="3" spans="1:12" ht="15.75">
      <c r="A3" s="348" t="s">
        <v>316</v>
      </c>
      <c r="B3" s="348"/>
      <c r="C3" s="348"/>
      <c r="D3" s="348"/>
      <c r="E3" s="348"/>
      <c r="F3" s="348"/>
      <c r="G3" s="348"/>
      <c r="H3" s="350" t="s">
        <v>317</v>
      </c>
      <c r="I3" s="350"/>
      <c r="J3" s="366"/>
      <c r="K3" s="100"/>
      <c r="L3" s="100"/>
    </row>
    <row r="4" spans="1:12" ht="15.75">
      <c r="A4" s="348"/>
      <c r="B4" s="348"/>
      <c r="C4" s="348"/>
      <c r="D4" s="348"/>
      <c r="E4" s="348"/>
      <c r="F4" s="348"/>
      <c r="G4" s="348"/>
      <c r="H4" s="348"/>
      <c r="I4" s="348"/>
      <c r="J4" s="366"/>
      <c r="K4" s="101"/>
      <c r="L4" s="101"/>
    </row>
    <row r="5" spans="1:12" ht="15.75">
      <c r="A5" s="351" t="s">
        <v>318</v>
      </c>
      <c r="B5" s="351"/>
      <c r="C5" s="351"/>
      <c r="D5" s="351"/>
      <c r="E5" s="351"/>
      <c r="F5" s="351"/>
      <c r="G5" s="351"/>
      <c r="H5" s="351"/>
      <c r="I5" s="351"/>
      <c r="J5" s="366"/>
      <c r="K5" s="100"/>
      <c r="L5" s="100"/>
    </row>
    <row r="6" spans="1:12" ht="15.75">
      <c r="A6" s="63" t="s">
        <v>319</v>
      </c>
      <c r="B6" s="352" t="s">
        <v>320</v>
      </c>
      <c r="C6" s="352"/>
      <c r="D6" s="352"/>
      <c r="E6" s="352"/>
      <c r="F6" s="352"/>
      <c r="G6" s="352"/>
      <c r="H6" s="352"/>
      <c r="I6" s="102"/>
      <c r="J6" s="366"/>
      <c r="K6" s="103" t="s">
        <v>321</v>
      </c>
      <c r="L6" s="104"/>
    </row>
    <row r="7" spans="1:12" ht="15.75">
      <c r="A7" s="63" t="s">
        <v>322</v>
      </c>
      <c r="B7" s="352" t="s">
        <v>323</v>
      </c>
      <c r="C7" s="352"/>
      <c r="D7" s="352"/>
      <c r="E7" s="352"/>
      <c r="F7" s="352"/>
      <c r="G7" s="352"/>
      <c r="H7" s="352"/>
      <c r="I7" s="63" t="s">
        <v>324</v>
      </c>
      <c r="J7" s="366"/>
      <c r="K7" s="105" t="s">
        <v>325</v>
      </c>
      <c r="L7" s="106"/>
    </row>
    <row r="8" spans="1:12" ht="15.75">
      <c r="A8" s="63" t="s">
        <v>326</v>
      </c>
      <c r="B8" s="352" t="s">
        <v>327</v>
      </c>
      <c r="C8" s="352"/>
      <c r="D8" s="352"/>
      <c r="E8" s="352"/>
      <c r="F8" s="352"/>
      <c r="G8" s="352"/>
      <c r="H8" s="352"/>
      <c r="I8" s="63" t="s">
        <v>328</v>
      </c>
      <c r="J8" s="366"/>
      <c r="K8" s="107" t="s">
        <v>329</v>
      </c>
      <c r="L8" s="108">
        <f>J138</f>
        <v>3748.9170400000007</v>
      </c>
    </row>
    <row r="9" spans="1:12" ht="15.75">
      <c r="A9" s="63" t="s">
        <v>330</v>
      </c>
      <c r="B9" s="352" t="s">
        <v>331</v>
      </c>
      <c r="C9" s="352"/>
      <c r="D9" s="352"/>
      <c r="E9" s="352"/>
      <c r="F9" s="352"/>
      <c r="G9" s="352"/>
      <c r="H9" s="352"/>
      <c r="I9" s="63">
        <v>12</v>
      </c>
      <c r="J9" s="366"/>
      <c r="K9" s="109"/>
      <c r="L9" s="109"/>
    </row>
    <row r="10" spans="1:12" ht="15.75">
      <c r="A10" s="353"/>
      <c r="B10" s="353"/>
      <c r="C10" s="353"/>
      <c r="D10" s="353"/>
      <c r="E10" s="353"/>
      <c r="F10" s="353"/>
      <c r="G10" s="353"/>
      <c r="H10" s="353"/>
      <c r="I10" s="353"/>
      <c r="J10" s="366"/>
      <c r="K10" s="103" t="s">
        <v>332</v>
      </c>
      <c r="L10" s="104"/>
    </row>
    <row r="11" spans="1:12" ht="12.75" customHeight="1">
      <c r="A11" s="351" t="s">
        <v>333</v>
      </c>
      <c r="B11" s="351"/>
      <c r="C11" s="351"/>
      <c r="D11" s="351"/>
      <c r="E11" s="351"/>
      <c r="F11" s="351"/>
      <c r="G11" s="351"/>
      <c r="H11" s="351"/>
      <c r="I11" s="351"/>
      <c r="J11" s="366"/>
      <c r="K11" s="110" t="s">
        <v>334</v>
      </c>
      <c r="L11" s="111"/>
    </row>
    <row r="12" spans="1:12" ht="15.75">
      <c r="A12" s="350" t="s">
        <v>335</v>
      </c>
      <c r="B12" s="350"/>
      <c r="C12" s="350" t="s">
        <v>336</v>
      </c>
      <c r="D12" s="350"/>
      <c r="E12" s="350" t="s">
        <v>337</v>
      </c>
      <c r="F12" s="350"/>
      <c r="G12" s="350"/>
      <c r="H12" s="350"/>
      <c r="I12" s="350"/>
      <c r="J12" s="366"/>
      <c r="K12" s="112" t="s">
        <v>338</v>
      </c>
      <c r="L12" s="113">
        <v>0.11</v>
      </c>
    </row>
    <row r="13" spans="1:12" ht="15.75">
      <c r="A13" s="354" t="s">
        <v>339</v>
      </c>
      <c r="B13" s="354"/>
      <c r="C13" s="355" t="s">
        <v>499</v>
      </c>
      <c r="D13" s="355"/>
      <c r="E13" s="350"/>
      <c r="F13" s="350"/>
      <c r="G13" s="350"/>
      <c r="H13" s="350"/>
      <c r="I13" s="350"/>
      <c r="J13" s="366"/>
      <c r="K13" s="114" t="s">
        <v>341</v>
      </c>
      <c r="L13" s="115">
        <f>I52</f>
        <v>473.82</v>
      </c>
    </row>
    <row r="14" spans="1:12" ht="15.75">
      <c r="A14" s="351" t="s">
        <v>342</v>
      </c>
      <c r="B14" s="351"/>
      <c r="C14" s="351"/>
      <c r="D14" s="351"/>
      <c r="E14" s="351"/>
      <c r="F14" s="351"/>
      <c r="G14" s="351"/>
      <c r="H14" s="351"/>
      <c r="I14" s="351"/>
      <c r="J14" s="366"/>
      <c r="K14" s="114" t="s">
        <v>343</v>
      </c>
      <c r="L14" s="115">
        <f>I104</f>
        <v>693.90500000000009</v>
      </c>
    </row>
    <row r="15" spans="1:12" ht="39">
      <c r="A15" s="63">
        <v>1</v>
      </c>
      <c r="B15" s="352" t="s">
        <v>344</v>
      </c>
      <c r="C15" s="352"/>
      <c r="D15" s="352"/>
      <c r="E15" s="352"/>
      <c r="F15" s="352"/>
      <c r="G15" s="352"/>
      <c r="H15" s="352"/>
      <c r="I15" s="69" t="s">
        <v>508</v>
      </c>
      <c r="J15" s="366"/>
      <c r="K15" s="114" t="s">
        <v>346</v>
      </c>
      <c r="L15" s="115">
        <f>I51</f>
        <v>0</v>
      </c>
    </row>
    <row r="16" spans="1:12" ht="15.75">
      <c r="A16" s="63">
        <v>2</v>
      </c>
      <c r="B16" s="352" t="s">
        <v>347</v>
      </c>
      <c r="C16" s="352"/>
      <c r="D16" s="352"/>
      <c r="E16" s="352"/>
      <c r="F16" s="352"/>
      <c r="G16" s="352"/>
      <c r="H16" s="352"/>
      <c r="I16" s="63" t="s">
        <v>501</v>
      </c>
      <c r="J16" s="366"/>
      <c r="K16" s="116" t="s">
        <v>349</v>
      </c>
      <c r="L16" s="117">
        <f>SUM(L13:L15)</f>
        <v>1167.7250000000001</v>
      </c>
    </row>
    <row r="17" spans="1:12" ht="15.75">
      <c r="A17" s="63">
        <v>3</v>
      </c>
      <c r="B17" s="352" t="s">
        <v>350</v>
      </c>
      <c r="C17" s="352"/>
      <c r="D17" s="352"/>
      <c r="E17" s="352"/>
      <c r="F17" s="352"/>
      <c r="G17" s="352"/>
      <c r="H17" s="352"/>
      <c r="I17" s="64">
        <v>1553.96</v>
      </c>
      <c r="J17" s="366"/>
      <c r="K17" s="114" t="s">
        <v>351</v>
      </c>
      <c r="L17" s="118">
        <f>I139</f>
        <v>5724.2329999999984</v>
      </c>
    </row>
    <row r="18" spans="1:12" ht="51">
      <c r="A18" s="6">
        <v>4</v>
      </c>
      <c r="B18" s="356" t="s">
        <v>352</v>
      </c>
      <c r="C18" s="356"/>
      <c r="D18" s="356"/>
      <c r="E18" s="356"/>
      <c r="F18" s="356"/>
      <c r="G18" s="356"/>
      <c r="H18" s="356"/>
      <c r="I18" s="13" t="s">
        <v>353</v>
      </c>
      <c r="J18" s="366"/>
      <c r="K18" s="119" t="s">
        <v>354</v>
      </c>
      <c r="L18" s="120">
        <f>L17-L16</f>
        <v>4556.507999999998</v>
      </c>
    </row>
    <row r="19" spans="1:12" ht="15.75">
      <c r="A19" s="63">
        <v>5</v>
      </c>
      <c r="B19" s="352" t="s">
        <v>355</v>
      </c>
      <c r="C19" s="352"/>
      <c r="D19" s="352"/>
      <c r="E19" s="352"/>
      <c r="F19" s="352"/>
      <c r="G19" s="352"/>
      <c r="H19" s="352"/>
      <c r="I19" s="102" t="s">
        <v>356</v>
      </c>
      <c r="J19" s="366"/>
      <c r="K19" s="121" t="s">
        <v>357</v>
      </c>
      <c r="L19" s="122">
        <f>L18*11%</f>
        <v>501.2158799999998</v>
      </c>
    </row>
    <row r="20" spans="1:12" ht="15.75">
      <c r="A20" s="357"/>
      <c r="B20" s="357"/>
      <c r="C20" s="357"/>
      <c r="D20" s="357"/>
      <c r="E20" s="357"/>
      <c r="F20" s="357"/>
      <c r="G20" s="357"/>
      <c r="H20" s="357"/>
      <c r="I20" s="357"/>
      <c r="J20" s="366"/>
      <c r="K20" s="112" t="s">
        <v>358</v>
      </c>
      <c r="L20" s="123"/>
    </row>
    <row r="21" spans="1:12" ht="15.75" customHeight="1">
      <c r="A21" s="351" t="s">
        <v>359</v>
      </c>
      <c r="B21" s="351"/>
      <c r="C21" s="351"/>
      <c r="D21" s="351"/>
      <c r="E21" s="351"/>
      <c r="F21" s="351"/>
      <c r="G21" s="351"/>
      <c r="H21" s="351"/>
      <c r="I21" s="351"/>
      <c r="J21" s="366"/>
      <c r="K21" s="124" t="s">
        <v>360</v>
      </c>
      <c r="L21" s="125">
        <v>1.2E-2</v>
      </c>
    </row>
    <row r="22" spans="1:12" ht="15.75" customHeight="1">
      <c r="A22" s="95">
        <v>1</v>
      </c>
      <c r="B22" s="351" t="s">
        <v>361</v>
      </c>
      <c r="C22" s="351"/>
      <c r="D22" s="351"/>
      <c r="E22" s="351"/>
      <c r="F22" s="351"/>
      <c r="G22" s="351"/>
      <c r="H22" s="96" t="s">
        <v>362</v>
      </c>
      <c r="I22" s="96" t="s">
        <v>363</v>
      </c>
      <c r="J22" s="366"/>
      <c r="K22" s="126" t="s">
        <v>364</v>
      </c>
      <c r="L22" s="127">
        <v>4.8000000000000001E-2</v>
      </c>
    </row>
    <row r="23" spans="1:12" ht="15.75" customHeight="1">
      <c r="A23" s="95" t="s">
        <v>319</v>
      </c>
      <c r="B23" s="352" t="s">
        <v>365</v>
      </c>
      <c r="C23" s="352"/>
      <c r="D23" s="352"/>
      <c r="E23" s="352"/>
      <c r="F23" s="352"/>
      <c r="G23" s="352"/>
      <c r="H23" s="62"/>
      <c r="I23" s="128">
        <f>I17</f>
        <v>1553.96</v>
      </c>
      <c r="J23" s="366"/>
      <c r="K23" s="114" t="s">
        <v>366</v>
      </c>
      <c r="L23" s="118">
        <f>L17</f>
        <v>5724.2329999999984</v>
      </c>
    </row>
    <row r="24" spans="1:12" ht="15.75" customHeight="1">
      <c r="A24" s="95" t="s">
        <v>322</v>
      </c>
      <c r="B24" s="352" t="s">
        <v>367</v>
      </c>
      <c r="C24" s="352"/>
      <c r="D24" s="352"/>
      <c r="E24" s="352"/>
      <c r="F24" s="352"/>
      <c r="G24" s="352"/>
      <c r="H24" s="97"/>
      <c r="I24" s="128">
        <v>0</v>
      </c>
      <c r="J24" s="366"/>
      <c r="K24" s="121" t="s">
        <v>368</v>
      </c>
      <c r="L24" s="122">
        <f>L23*L21</f>
        <v>68.690795999999978</v>
      </c>
    </row>
    <row r="25" spans="1:12" ht="15.75" customHeight="1">
      <c r="A25" s="95" t="s">
        <v>326</v>
      </c>
      <c r="B25" s="352" t="s">
        <v>369</v>
      </c>
      <c r="C25" s="352"/>
      <c r="D25" s="352"/>
      <c r="E25" s="352"/>
      <c r="F25" s="352"/>
      <c r="G25" s="352"/>
      <c r="H25" s="97">
        <v>0.4</v>
      </c>
      <c r="I25" s="128">
        <f>ROUND(1518*40%,2)</f>
        <v>607.20000000000005</v>
      </c>
      <c r="J25" s="366"/>
      <c r="K25" s="112" t="s">
        <v>370</v>
      </c>
      <c r="L25" s="113">
        <v>0.01</v>
      </c>
    </row>
    <row r="26" spans="1:12" ht="15.75" customHeight="1">
      <c r="A26" s="95" t="s">
        <v>330</v>
      </c>
      <c r="B26" s="352" t="s">
        <v>371</v>
      </c>
      <c r="C26" s="352"/>
      <c r="D26" s="352"/>
      <c r="E26" s="352"/>
      <c r="F26" s="352"/>
      <c r="G26" s="352"/>
      <c r="H26" s="97"/>
      <c r="I26" s="128">
        <v>0</v>
      </c>
      <c r="J26" s="366"/>
      <c r="K26" s="119" t="s">
        <v>351</v>
      </c>
      <c r="L26" s="120">
        <f>L17</f>
        <v>5724.2329999999984</v>
      </c>
    </row>
    <row r="27" spans="1:12" ht="15.75" customHeight="1">
      <c r="A27" s="95" t="s">
        <v>372</v>
      </c>
      <c r="B27" s="352" t="s">
        <v>373</v>
      </c>
      <c r="C27" s="352"/>
      <c r="D27" s="352"/>
      <c r="E27" s="352"/>
      <c r="F27" s="352"/>
      <c r="G27" s="352"/>
      <c r="H27" s="97"/>
      <c r="I27" s="128">
        <v>0</v>
      </c>
      <c r="J27" s="366"/>
      <c r="K27" s="121" t="s">
        <v>357</v>
      </c>
      <c r="L27" s="122">
        <f>L26*L25</f>
        <v>57.242329999999981</v>
      </c>
    </row>
    <row r="28" spans="1:12" ht="15.75" customHeight="1">
      <c r="A28" s="95" t="s">
        <v>374</v>
      </c>
      <c r="B28" s="352" t="s">
        <v>375</v>
      </c>
      <c r="C28" s="352"/>
      <c r="D28" s="352"/>
      <c r="E28" s="352"/>
      <c r="F28" s="352"/>
      <c r="G28" s="352"/>
      <c r="H28" s="97"/>
      <c r="I28" s="128">
        <v>0</v>
      </c>
      <c r="J28" s="366"/>
      <c r="K28" s="112" t="s">
        <v>376</v>
      </c>
      <c r="L28" s="113">
        <f>H117</f>
        <v>2.6599999999999999E-2</v>
      </c>
    </row>
    <row r="29" spans="1:12" ht="15.75" customHeight="1">
      <c r="A29" s="351" t="s">
        <v>377</v>
      </c>
      <c r="B29" s="351"/>
      <c r="C29" s="351"/>
      <c r="D29" s="351"/>
      <c r="E29" s="351"/>
      <c r="F29" s="351"/>
      <c r="G29" s="351"/>
      <c r="H29" s="351"/>
      <c r="I29" s="129">
        <f>SUM(I23:I28)</f>
        <v>2161.16</v>
      </c>
      <c r="J29" s="130">
        <f>SUM(I23:I28)</f>
        <v>2161.16</v>
      </c>
      <c r="K29" s="119" t="s">
        <v>351</v>
      </c>
      <c r="L29" s="120">
        <f>L17</f>
        <v>5724.2329999999984</v>
      </c>
    </row>
    <row r="30" spans="1:12" ht="15.7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131"/>
      <c r="K30" s="121" t="s">
        <v>357</v>
      </c>
      <c r="L30" s="122">
        <f>L29*L28</f>
        <v>152.26459779999996</v>
      </c>
    </row>
    <row r="31" spans="1:12" ht="15.75" customHeight="1">
      <c r="A31" s="351" t="s">
        <v>378</v>
      </c>
      <c r="B31" s="351"/>
      <c r="C31" s="351"/>
      <c r="D31" s="351"/>
      <c r="E31" s="351"/>
      <c r="F31" s="351"/>
      <c r="G31" s="351"/>
      <c r="H31" s="351"/>
      <c r="I31" s="351"/>
      <c r="J31" s="131"/>
      <c r="K31" s="112" t="s">
        <v>379</v>
      </c>
      <c r="L31" s="113">
        <f>H116</f>
        <v>5.7999999999999996E-3</v>
      </c>
    </row>
    <row r="32" spans="1:12" ht="15.75" customHeight="1">
      <c r="A32" s="351" t="s">
        <v>380</v>
      </c>
      <c r="B32" s="351"/>
      <c r="C32" s="351"/>
      <c r="D32" s="351"/>
      <c r="E32" s="351"/>
      <c r="F32" s="351"/>
      <c r="G32" s="351"/>
      <c r="H32" s="96" t="s">
        <v>362</v>
      </c>
      <c r="I32" s="96" t="s">
        <v>363</v>
      </c>
      <c r="J32" s="132"/>
      <c r="K32" s="119" t="s">
        <v>351</v>
      </c>
      <c r="L32" s="120">
        <f>L17</f>
        <v>5724.2329999999984</v>
      </c>
    </row>
    <row r="33" spans="1:12" ht="15.75" customHeight="1">
      <c r="A33" s="95" t="s">
        <v>319</v>
      </c>
      <c r="B33" s="352" t="s">
        <v>381</v>
      </c>
      <c r="C33" s="352"/>
      <c r="D33" s="352"/>
      <c r="E33" s="352"/>
      <c r="F33" s="352"/>
      <c r="G33" s="352"/>
      <c r="H33" s="97">
        <f>ROUND(1/12,4)</f>
        <v>8.3299999999999999E-2</v>
      </c>
      <c r="I33" s="133">
        <f>ROUND(I29*H33,2)</f>
        <v>180.02</v>
      </c>
      <c r="J33" s="130">
        <f>I33+(I33*$H$48)</f>
        <v>242.66696000000002</v>
      </c>
      <c r="K33" s="121" t="s">
        <v>357</v>
      </c>
      <c r="L33" s="122">
        <f>L32*L31</f>
        <v>33.200551399999988</v>
      </c>
    </row>
    <row r="34" spans="1:12" ht="15.75" customHeight="1">
      <c r="A34" s="95" t="s">
        <v>322</v>
      </c>
      <c r="B34" s="352" t="s">
        <v>382</v>
      </c>
      <c r="C34" s="352"/>
      <c r="D34" s="352"/>
      <c r="E34" s="352"/>
      <c r="F34" s="352"/>
      <c r="G34" s="352"/>
      <c r="H34" s="97">
        <v>0.121</v>
      </c>
      <c r="I34" s="133">
        <f>ROUND(I29*H34,2)</f>
        <v>261.5</v>
      </c>
      <c r="J34" s="130">
        <f>I34+(I34*$H$48)</f>
        <v>352.50200000000001</v>
      </c>
      <c r="K34" s="112" t="s">
        <v>383</v>
      </c>
      <c r="L34" s="113">
        <f>H118</f>
        <v>0.05</v>
      </c>
    </row>
    <row r="35" spans="1:12" ht="15.75" customHeight="1">
      <c r="A35" s="351" t="s">
        <v>384</v>
      </c>
      <c r="B35" s="351"/>
      <c r="C35" s="351"/>
      <c r="D35" s="351"/>
      <c r="E35" s="351"/>
      <c r="F35" s="351"/>
      <c r="G35" s="351"/>
      <c r="H35" s="98">
        <f>SUM(H33:H34)</f>
        <v>0.20430000000000001</v>
      </c>
      <c r="I35" s="129">
        <f>SUM(I33:I34)</f>
        <v>441.52</v>
      </c>
      <c r="J35" s="134"/>
      <c r="K35" s="119" t="s">
        <v>351</v>
      </c>
      <c r="L35" s="120">
        <f>L17</f>
        <v>5724.2329999999984</v>
      </c>
    </row>
    <row r="36" spans="1:12" ht="15.75" customHeight="1">
      <c r="A36" s="369" t="s">
        <v>385</v>
      </c>
      <c r="B36" s="369"/>
      <c r="C36" s="369"/>
      <c r="D36" s="369"/>
      <c r="E36" s="369"/>
      <c r="F36" s="369"/>
      <c r="G36" s="358" t="s">
        <v>386</v>
      </c>
      <c r="H36" s="358"/>
      <c r="I36" s="135">
        <f>I29</f>
        <v>2161.16</v>
      </c>
      <c r="J36" s="136"/>
      <c r="K36" s="121" t="s">
        <v>357</v>
      </c>
      <c r="L36" s="122">
        <f>L35*L34</f>
        <v>286.21164999999991</v>
      </c>
    </row>
    <row r="37" spans="1:12" ht="15.75" customHeight="1">
      <c r="A37" s="369"/>
      <c r="B37" s="369"/>
      <c r="C37" s="369"/>
      <c r="D37" s="369"/>
      <c r="E37" s="369"/>
      <c r="F37" s="369"/>
      <c r="G37" s="358" t="s">
        <v>387</v>
      </c>
      <c r="H37" s="358"/>
      <c r="I37" s="135">
        <f>I35</f>
        <v>441.52</v>
      </c>
      <c r="J37" s="137"/>
      <c r="K37" s="138" t="s">
        <v>388</v>
      </c>
      <c r="L37" s="139">
        <f>L19+L24+L27+L30+L33+L36</f>
        <v>1098.8258051999996</v>
      </c>
    </row>
    <row r="38" spans="1:12" ht="15.75" customHeight="1">
      <c r="A38" s="369"/>
      <c r="B38" s="369"/>
      <c r="C38" s="369"/>
      <c r="D38" s="369"/>
      <c r="E38" s="369"/>
      <c r="F38" s="369"/>
      <c r="G38" s="359" t="s">
        <v>389</v>
      </c>
      <c r="H38" s="359"/>
      <c r="I38" s="140">
        <f>SUM(I36:I37)</f>
        <v>2602.6799999999998</v>
      </c>
      <c r="J38" s="136"/>
      <c r="K38" s="141"/>
      <c r="L38" s="141"/>
    </row>
    <row r="39" spans="1:12" ht="15.75" customHeight="1">
      <c r="A39" s="351" t="s">
        <v>390</v>
      </c>
      <c r="B39" s="351"/>
      <c r="C39" s="351"/>
      <c r="D39" s="351"/>
      <c r="E39" s="351"/>
      <c r="F39" s="351"/>
      <c r="G39" s="351"/>
      <c r="H39" s="96" t="s">
        <v>362</v>
      </c>
      <c r="I39" s="96" t="s">
        <v>363</v>
      </c>
      <c r="J39" s="136"/>
      <c r="K39" s="142" t="s">
        <v>391</v>
      </c>
      <c r="L39" s="143"/>
    </row>
    <row r="40" spans="1:12" ht="15.75" customHeight="1">
      <c r="A40" s="95" t="s">
        <v>319</v>
      </c>
      <c r="B40" s="352" t="s">
        <v>392</v>
      </c>
      <c r="C40" s="352"/>
      <c r="D40" s="352"/>
      <c r="E40" s="352"/>
      <c r="F40" s="352"/>
      <c r="G40" s="352"/>
      <c r="H40" s="97">
        <v>0.2</v>
      </c>
      <c r="I40" s="133">
        <f t="shared" ref="I40:I47" si="0">ROUND($I$38*H40,2)</f>
        <v>520.54</v>
      </c>
      <c r="J40" s="144" t="s">
        <v>393</v>
      </c>
      <c r="K40" s="145" t="s">
        <v>394</v>
      </c>
      <c r="L40" s="146"/>
    </row>
    <row r="41" spans="1:12" ht="15.75" customHeight="1">
      <c r="A41" s="95" t="s">
        <v>322</v>
      </c>
      <c r="B41" s="352" t="s">
        <v>395</v>
      </c>
      <c r="C41" s="352"/>
      <c r="D41" s="352"/>
      <c r="E41" s="352"/>
      <c r="F41" s="352"/>
      <c r="G41" s="352"/>
      <c r="H41" s="97">
        <v>2.5000000000000001E-2</v>
      </c>
      <c r="I41" s="133">
        <f t="shared" si="0"/>
        <v>65.069999999999993</v>
      </c>
      <c r="J41" s="130">
        <f t="shared" ref="J41:J47" si="1">$I$29*H41</f>
        <v>54.029000000000003</v>
      </c>
      <c r="K41" s="147" t="s">
        <v>394</v>
      </c>
      <c r="L41" s="148">
        <f>L8+L37</f>
        <v>4847.7428452000004</v>
      </c>
    </row>
    <row r="42" spans="1:12" ht="15.75" customHeight="1">
      <c r="A42" s="95" t="s">
        <v>326</v>
      </c>
      <c r="B42" s="352" t="s">
        <v>396</v>
      </c>
      <c r="C42" s="352"/>
      <c r="D42" s="352"/>
      <c r="E42" s="352"/>
      <c r="F42" s="352"/>
      <c r="G42" s="352"/>
      <c r="H42" s="402">
        <v>0.01</v>
      </c>
      <c r="I42" s="133">
        <f t="shared" si="0"/>
        <v>26.03</v>
      </c>
      <c r="J42" s="144" t="s">
        <v>393</v>
      </c>
      <c r="K42" s="109"/>
      <c r="L42" s="149"/>
    </row>
    <row r="43" spans="1:12" ht="15.75" customHeight="1">
      <c r="A43" s="95" t="s">
        <v>330</v>
      </c>
      <c r="B43" s="352" t="s">
        <v>397</v>
      </c>
      <c r="C43" s="352"/>
      <c r="D43" s="352"/>
      <c r="E43" s="352"/>
      <c r="F43" s="352"/>
      <c r="G43" s="352"/>
      <c r="H43" s="97">
        <v>1.4999999999999999E-2</v>
      </c>
      <c r="I43" s="133">
        <f t="shared" si="0"/>
        <v>39.04</v>
      </c>
      <c r="J43" s="130">
        <f t="shared" si="1"/>
        <v>32.417400000000001</v>
      </c>
      <c r="K43" s="109"/>
      <c r="L43" s="149"/>
    </row>
    <row r="44" spans="1:12" ht="15.75" customHeight="1">
      <c r="A44" s="95" t="s">
        <v>372</v>
      </c>
      <c r="B44" s="352" t="s">
        <v>398</v>
      </c>
      <c r="C44" s="352"/>
      <c r="D44" s="352"/>
      <c r="E44" s="352"/>
      <c r="F44" s="352"/>
      <c r="G44" s="352"/>
      <c r="H44" s="97">
        <v>0.01</v>
      </c>
      <c r="I44" s="133">
        <f t="shared" si="0"/>
        <v>26.03</v>
      </c>
      <c r="J44" s="130">
        <f t="shared" si="1"/>
        <v>21.611599999999999</v>
      </c>
      <c r="K44" s="109"/>
      <c r="L44" s="149"/>
    </row>
    <row r="45" spans="1:12" ht="15.75" customHeight="1">
      <c r="A45" s="95" t="s">
        <v>374</v>
      </c>
      <c r="B45" s="352" t="s">
        <v>399</v>
      </c>
      <c r="C45" s="352"/>
      <c r="D45" s="352"/>
      <c r="E45" s="352"/>
      <c r="F45" s="352"/>
      <c r="G45" s="352"/>
      <c r="H45" s="97">
        <v>6.0000000000000001E-3</v>
      </c>
      <c r="I45" s="133">
        <f t="shared" si="0"/>
        <v>15.62</v>
      </c>
      <c r="J45" s="130">
        <f t="shared" si="1"/>
        <v>12.96696</v>
      </c>
      <c r="K45" s="109"/>
      <c r="L45" s="149"/>
    </row>
    <row r="46" spans="1:12" ht="15.75" customHeight="1">
      <c r="A46" s="95" t="s">
        <v>400</v>
      </c>
      <c r="B46" s="352" t="s">
        <v>401</v>
      </c>
      <c r="C46" s="352"/>
      <c r="D46" s="352"/>
      <c r="E46" s="352"/>
      <c r="F46" s="352"/>
      <c r="G46" s="352"/>
      <c r="H46" s="97">
        <v>2E-3</v>
      </c>
      <c r="I46" s="133">
        <f t="shared" si="0"/>
        <v>5.21</v>
      </c>
      <c r="J46" s="130">
        <f t="shared" si="1"/>
        <v>4.3223200000000004</v>
      </c>
      <c r="K46" s="109"/>
      <c r="L46" s="149"/>
    </row>
    <row r="47" spans="1:12" ht="15.75" customHeight="1">
      <c r="A47" s="95" t="s">
        <v>402</v>
      </c>
      <c r="B47" s="352" t="s">
        <v>403</v>
      </c>
      <c r="C47" s="352"/>
      <c r="D47" s="352"/>
      <c r="E47" s="352"/>
      <c r="F47" s="352"/>
      <c r="G47" s="352"/>
      <c r="H47" s="97">
        <v>0.08</v>
      </c>
      <c r="I47" s="133">
        <f t="shared" si="0"/>
        <v>208.21</v>
      </c>
      <c r="J47" s="130">
        <f t="shared" si="1"/>
        <v>172.89279999999999</v>
      </c>
      <c r="K47" s="360" t="s">
        <v>404</v>
      </c>
      <c r="L47" s="360"/>
    </row>
    <row r="48" spans="1:12" ht="15.75" customHeight="1">
      <c r="A48" s="351" t="s">
        <v>405</v>
      </c>
      <c r="B48" s="351"/>
      <c r="C48" s="351"/>
      <c r="D48" s="351"/>
      <c r="E48" s="351"/>
      <c r="F48" s="351"/>
      <c r="G48" s="351"/>
      <c r="H48" s="98">
        <f>SUM(H40:H47)</f>
        <v>0.34800000000000003</v>
      </c>
      <c r="I48" s="129">
        <f>SUM(I40:I47)</f>
        <v>905.74999999999989</v>
      </c>
      <c r="J48" s="137"/>
      <c r="K48" s="361" t="s">
        <v>406</v>
      </c>
      <c r="L48" s="361"/>
    </row>
    <row r="49" spans="1:12" ht="15.75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137"/>
      <c r="K49" s="150" t="s">
        <v>407</v>
      </c>
      <c r="L49" s="151">
        <v>1</v>
      </c>
    </row>
    <row r="50" spans="1:12" ht="15.75" customHeight="1">
      <c r="A50" s="351" t="s">
        <v>408</v>
      </c>
      <c r="B50" s="351"/>
      <c r="C50" s="351"/>
      <c r="D50" s="351"/>
      <c r="E50" s="351"/>
      <c r="F50" s="351"/>
      <c r="G50" s="351"/>
      <c r="H50" s="98"/>
      <c r="I50" s="96" t="s">
        <v>363</v>
      </c>
      <c r="J50" s="137"/>
      <c r="K50" s="367" t="s">
        <v>409</v>
      </c>
      <c r="L50" s="368">
        <f>L41</f>
        <v>4847.7428452000004</v>
      </c>
    </row>
    <row r="51" spans="1:12" ht="15.75" customHeight="1">
      <c r="A51" s="95" t="s">
        <v>319</v>
      </c>
      <c r="B51" s="357" t="s">
        <v>410</v>
      </c>
      <c r="C51" s="357"/>
      <c r="D51" s="357"/>
      <c r="E51" s="357"/>
      <c r="F51" s="357"/>
      <c r="G51" s="357"/>
      <c r="H51" s="99" t="s">
        <v>303</v>
      </c>
      <c r="I51" s="128">
        <v>0</v>
      </c>
      <c r="J51" s="130">
        <f t="shared" ref="J51:J54" si="2">I51</f>
        <v>0</v>
      </c>
      <c r="K51" s="367"/>
      <c r="L51" s="368"/>
    </row>
    <row r="52" spans="1:12" ht="15.75" customHeight="1">
      <c r="A52" s="95" t="s">
        <v>322</v>
      </c>
      <c r="B52" s="357" t="s">
        <v>411</v>
      </c>
      <c r="C52" s="357"/>
      <c r="D52" s="357"/>
      <c r="E52" s="357"/>
      <c r="F52" s="357"/>
      <c r="G52" s="357"/>
      <c r="H52" s="63" t="s">
        <v>303</v>
      </c>
      <c r="I52" s="128">
        <v>473.82</v>
      </c>
      <c r="J52" s="130">
        <f t="shared" si="2"/>
        <v>473.82</v>
      </c>
      <c r="K52" s="367"/>
      <c r="L52" s="368"/>
    </row>
    <row r="53" spans="1:12" ht="15.75" customHeight="1">
      <c r="A53" s="95" t="s">
        <v>326</v>
      </c>
      <c r="B53" s="357" t="s">
        <v>412</v>
      </c>
      <c r="C53" s="357"/>
      <c r="D53" s="357"/>
      <c r="E53" s="357"/>
      <c r="F53" s="357"/>
      <c r="G53" s="357"/>
      <c r="H53" s="63" t="s">
        <v>303</v>
      </c>
      <c r="I53" s="128">
        <f>(52.15+78.22)*0.4</f>
        <v>52.148000000000003</v>
      </c>
      <c r="J53" s="130">
        <f t="shared" si="2"/>
        <v>52.148000000000003</v>
      </c>
      <c r="K53" s="153" t="s">
        <v>413</v>
      </c>
      <c r="L53" s="152">
        <f>I139</f>
        <v>5724.2329999999984</v>
      </c>
    </row>
    <row r="54" spans="1:12" ht="15.75" customHeight="1">
      <c r="A54" s="95" t="s">
        <v>330</v>
      </c>
      <c r="B54" s="357" t="s">
        <v>414</v>
      </c>
      <c r="C54" s="357"/>
      <c r="D54" s="357"/>
      <c r="E54" s="357"/>
      <c r="F54" s="357"/>
      <c r="G54" s="357"/>
      <c r="H54" s="63" t="s">
        <v>303</v>
      </c>
      <c r="I54" s="128">
        <f>ROUND((I23*26)*0.002/12,2)</f>
        <v>6.73</v>
      </c>
      <c r="J54" s="130">
        <f t="shared" si="2"/>
        <v>6.73</v>
      </c>
      <c r="K54" s="154" t="s">
        <v>415</v>
      </c>
      <c r="L54" s="155">
        <f>L41</f>
        <v>4847.7428452000004</v>
      </c>
    </row>
    <row r="55" spans="1:12" ht="15.75" customHeight="1">
      <c r="A55" s="351" t="s">
        <v>416</v>
      </c>
      <c r="B55" s="351"/>
      <c r="C55" s="351"/>
      <c r="D55" s="351"/>
      <c r="E55" s="351"/>
      <c r="F55" s="351"/>
      <c r="G55" s="351"/>
      <c r="H55" s="351"/>
      <c r="I55" s="129">
        <f>SUM(I51:I54)</f>
        <v>532.69799999999998</v>
      </c>
      <c r="J55" s="134"/>
      <c r="K55" s="156" t="s">
        <v>417</v>
      </c>
      <c r="L55" s="157">
        <f>L53-L54</f>
        <v>876.49015479999798</v>
      </c>
    </row>
    <row r="56" spans="1:12" ht="15.75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134"/>
      <c r="K56" s="158" t="s">
        <v>418</v>
      </c>
      <c r="L56" s="159">
        <f>SUM(I68:I71,I96,I104,I113)</f>
        <v>972.16500000000008</v>
      </c>
    </row>
    <row r="57" spans="1:12" ht="15.75" customHeight="1">
      <c r="A57" s="351" t="s">
        <v>419</v>
      </c>
      <c r="B57" s="351"/>
      <c r="C57" s="351"/>
      <c r="D57" s="351"/>
      <c r="E57" s="351"/>
      <c r="F57" s="351"/>
      <c r="G57" s="351"/>
      <c r="H57" s="351"/>
      <c r="I57" s="351"/>
      <c r="J57" s="134"/>
      <c r="K57" s="158" t="s">
        <v>420</v>
      </c>
      <c r="L57" s="160">
        <f>L55-L56</f>
        <v>-95.674845200002096</v>
      </c>
    </row>
    <row r="58" spans="1:12" ht="15.75" customHeight="1">
      <c r="A58" s="351" t="s">
        <v>421</v>
      </c>
      <c r="B58" s="351"/>
      <c r="C58" s="351"/>
      <c r="D58" s="351"/>
      <c r="E58" s="351"/>
      <c r="F58" s="351"/>
      <c r="G58" s="351"/>
      <c r="H58" s="351"/>
      <c r="I58" s="96" t="s">
        <v>363</v>
      </c>
      <c r="J58" s="134"/>
      <c r="K58" s="161" t="s">
        <v>422</v>
      </c>
      <c r="L58" s="162">
        <f>ROUND(L57*L49,2)</f>
        <v>-95.67</v>
      </c>
    </row>
    <row r="59" spans="1:12" ht="15.75" customHeight="1">
      <c r="A59" s="95" t="s">
        <v>215</v>
      </c>
      <c r="B59" s="352" t="s">
        <v>423</v>
      </c>
      <c r="C59" s="352"/>
      <c r="D59" s="352"/>
      <c r="E59" s="352"/>
      <c r="F59" s="352"/>
      <c r="G59" s="352"/>
      <c r="H59" s="352"/>
      <c r="I59" s="133">
        <f>I35</f>
        <v>441.52</v>
      </c>
      <c r="J59" s="134"/>
      <c r="K59" s="161" t="s">
        <v>424</v>
      </c>
      <c r="L59" s="162">
        <f>ROUND((L57*12)*L49,2)</f>
        <v>-1148.0999999999999</v>
      </c>
    </row>
    <row r="60" spans="1:12" ht="15.75" customHeight="1">
      <c r="A60" s="95" t="s">
        <v>245</v>
      </c>
      <c r="B60" s="352" t="s">
        <v>425</v>
      </c>
      <c r="C60" s="352"/>
      <c r="D60" s="352"/>
      <c r="E60" s="352"/>
      <c r="F60" s="352"/>
      <c r="G60" s="352"/>
      <c r="H60" s="352"/>
      <c r="I60" s="133">
        <f>I48</f>
        <v>905.74999999999989</v>
      </c>
      <c r="J60" s="134"/>
      <c r="K60" s="372" t="s">
        <v>426</v>
      </c>
      <c r="L60" s="372"/>
    </row>
    <row r="61" spans="1:12" ht="15.75" customHeight="1">
      <c r="A61" s="95" t="s">
        <v>257</v>
      </c>
      <c r="B61" s="352" t="s">
        <v>427</v>
      </c>
      <c r="C61" s="352"/>
      <c r="D61" s="352"/>
      <c r="E61" s="352"/>
      <c r="F61" s="352"/>
      <c r="G61" s="352"/>
      <c r="H61" s="352"/>
      <c r="I61" s="133">
        <f>I55</f>
        <v>532.69799999999998</v>
      </c>
      <c r="J61" s="134"/>
      <c r="K61" s="372"/>
      <c r="L61" s="372"/>
    </row>
    <row r="62" spans="1:12" ht="15.75" customHeight="1">
      <c r="A62" s="351" t="s">
        <v>428</v>
      </c>
      <c r="B62" s="351"/>
      <c r="C62" s="351"/>
      <c r="D62" s="351"/>
      <c r="E62" s="351"/>
      <c r="F62" s="351"/>
      <c r="G62" s="351"/>
      <c r="H62" s="351"/>
      <c r="I62" s="129">
        <f>SUM(I59:I61)</f>
        <v>1879.9679999999998</v>
      </c>
      <c r="J62" s="134"/>
      <c r="K62" s="372"/>
      <c r="L62" s="372"/>
    </row>
    <row r="63" spans="1:12" ht="15.75" customHeight="1">
      <c r="A63" s="370" t="s">
        <v>429</v>
      </c>
      <c r="B63" s="370"/>
      <c r="C63" s="370"/>
      <c r="D63" s="370"/>
      <c r="E63" s="370"/>
      <c r="F63" s="370"/>
      <c r="G63" s="358" t="s">
        <v>386</v>
      </c>
      <c r="H63" s="358"/>
      <c r="I63" s="135">
        <f>I29</f>
        <v>2161.16</v>
      </c>
      <c r="J63" s="134"/>
      <c r="K63" s="372"/>
      <c r="L63" s="372"/>
    </row>
    <row r="64" spans="1:12" ht="15.75" customHeight="1">
      <c r="A64" s="370"/>
      <c r="B64" s="370"/>
      <c r="C64" s="370"/>
      <c r="D64" s="370"/>
      <c r="E64" s="370"/>
      <c r="F64" s="370"/>
      <c r="G64" s="358" t="s">
        <v>430</v>
      </c>
      <c r="H64" s="358"/>
      <c r="I64" s="135">
        <f>I62</f>
        <v>1879.9679999999998</v>
      </c>
      <c r="J64" s="134"/>
      <c r="K64" s="372"/>
      <c r="L64" s="372"/>
    </row>
    <row r="65" spans="1:12" ht="15.75" customHeight="1">
      <c r="A65" s="370"/>
      <c r="B65" s="370"/>
      <c r="C65" s="370"/>
      <c r="D65" s="370"/>
      <c r="E65" s="370"/>
      <c r="F65" s="370"/>
      <c r="G65" s="359" t="s">
        <v>389</v>
      </c>
      <c r="H65" s="359"/>
      <c r="I65" s="140">
        <f>SUM(I63:I64)</f>
        <v>4041.1279999999997</v>
      </c>
      <c r="J65" s="134"/>
      <c r="K65" s="372"/>
      <c r="L65" s="372"/>
    </row>
    <row r="66" spans="1:12" ht="15.75" customHeight="1">
      <c r="A66" s="351" t="s">
        <v>431</v>
      </c>
      <c r="B66" s="351"/>
      <c r="C66" s="351"/>
      <c r="D66" s="351"/>
      <c r="E66" s="351"/>
      <c r="F66" s="351"/>
      <c r="G66" s="351"/>
      <c r="H66" s="351"/>
      <c r="I66" s="351"/>
      <c r="J66" s="134"/>
      <c r="K66" s="372"/>
      <c r="L66" s="372"/>
    </row>
    <row r="67" spans="1:12" ht="27.75" customHeight="1">
      <c r="A67" s="95">
        <v>3</v>
      </c>
      <c r="B67" s="351" t="s">
        <v>432</v>
      </c>
      <c r="C67" s="351"/>
      <c r="D67" s="351"/>
      <c r="E67" s="351"/>
      <c r="F67" s="351"/>
      <c r="G67" s="351"/>
      <c r="H67" s="96" t="s">
        <v>362</v>
      </c>
      <c r="I67" s="96" t="s">
        <v>363</v>
      </c>
      <c r="J67" s="134"/>
      <c r="K67" s="372"/>
      <c r="L67" s="372"/>
    </row>
    <row r="68" spans="1:12" ht="15.75" customHeight="1">
      <c r="A68" s="95" t="s">
        <v>319</v>
      </c>
      <c r="B68" s="352" t="s">
        <v>433</v>
      </c>
      <c r="C68" s="352"/>
      <c r="D68" s="352"/>
      <c r="E68" s="352"/>
      <c r="F68" s="352"/>
      <c r="G68" s="352"/>
      <c r="H68" s="97">
        <f>ROUND(((1/12)*5%),4)</f>
        <v>4.1999999999999997E-3</v>
      </c>
      <c r="I68" s="133">
        <f>ROUND(H68*$I$65,2)</f>
        <v>16.97</v>
      </c>
      <c r="J68" s="134"/>
      <c r="K68" s="372"/>
      <c r="L68" s="372"/>
    </row>
    <row r="69" spans="1:12" ht="15.75" customHeight="1">
      <c r="A69" s="95" t="s">
        <v>322</v>
      </c>
      <c r="B69" s="352" t="s">
        <v>434</v>
      </c>
      <c r="C69" s="352"/>
      <c r="D69" s="352"/>
      <c r="E69" s="352"/>
      <c r="F69" s="352"/>
      <c r="G69" s="352"/>
      <c r="H69" s="97">
        <f>TRUNC(H68*H47,4)</f>
        <v>2.9999999999999997E-4</v>
      </c>
      <c r="I69" s="133">
        <f>ROUND(H69*$I$65,2)</f>
        <v>1.21</v>
      </c>
      <c r="J69" s="134"/>
      <c r="K69" s="372"/>
      <c r="L69" s="372"/>
    </row>
    <row r="70" spans="1:12" ht="15.75" customHeight="1">
      <c r="A70" s="95" t="s">
        <v>326</v>
      </c>
      <c r="B70" s="352" t="s">
        <v>435</v>
      </c>
      <c r="C70" s="352"/>
      <c r="D70" s="352"/>
      <c r="E70" s="352"/>
      <c r="F70" s="352"/>
      <c r="G70" s="352"/>
      <c r="H70" s="97">
        <f>ROUND(((7/30)/12)*95%,4)</f>
        <v>1.8499999999999999E-2</v>
      </c>
      <c r="I70" s="133">
        <f>ROUND(H70*$I$65,2)</f>
        <v>74.760000000000005</v>
      </c>
      <c r="J70" s="134"/>
      <c r="K70" s="109"/>
      <c r="L70" s="109"/>
    </row>
    <row r="71" spans="1:12" ht="15.75" customHeight="1">
      <c r="A71" s="95" t="s">
        <v>330</v>
      </c>
      <c r="B71" s="363" t="s">
        <v>436</v>
      </c>
      <c r="C71" s="363"/>
      <c r="D71" s="363"/>
      <c r="E71" s="363"/>
      <c r="F71" s="363"/>
      <c r="G71" s="363"/>
      <c r="H71" s="97">
        <f>ROUND(H70*H48,4)</f>
        <v>6.4000000000000003E-3</v>
      </c>
      <c r="I71" s="133">
        <f>ROUND(H71*$I$65,2)</f>
        <v>25.86</v>
      </c>
      <c r="J71" s="134"/>
      <c r="K71" s="109"/>
      <c r="L71" s="109"/>
    </row>
    <row r="72" spans="1:12" ht="15.75" customHeight="1">
      <c r="A72" s="95" t="s">
        <v>372</v>
      </c>
      <c r="B72" s="352" t="s">
        <v>437</v>
      </c>
      <c r="C72" s="352"/>
      <c r="D72" s="352"/>
      <c r="E72" s="352"/>
      <c r="F72" s="352"/>
      <c r="G72" s="352"/>
      <c r="H72" s="97">
        <v>0.04</v>
      </c>
      <c r="I72" s="133">
        <f>ROUND(H72*$I$65,2)</f>
        <v>161.65</v>
      </c>
      <c r="J72" s="130">
        <f>I72</f>
        <v>161.65</v>
      </c>
      <c r="K72" s="109"/>
      <c r="L72" s="109"/>
    </row>
    <row r="73" spans="1:12" ht="15.75" customHeight="1">
      <c r="A73" s="351" t="s">
        <v>438</v>
      </c>
      <c r="B73" s="351"/>
      <c r="C73" s="351"/>
      <c r="D73" s="351"/>
      <c r="E73" s="351"/>
      <c r="F73" s="351"/>
      <c r="G73" s="351"/>
      <c r="H73" s="98">
        <f>SUM(H68:H72)</f>
        <v>6.9400000000000003E-2</v>
      </c>
      <c r="I73" s="129">
        <f>SUM(I68:I72)</f>
        <v>280.45</v>
      </c>
      <c r="J73" s="134"/>
      <c r="K73" s="179"/>
      <c r="L73" s="109"/>
    </row>
    <row r="74" spans="1:12" ht="15.75" customHeight="1">
      <c r="A74" s="371" t="s">
        <v>439</v>
      </c>
      <c r="B74" s="371"/>
      <c r="C74" s="371"/>
      <c r="D74" s="371"/>
      <c r="E74" s="371"/>
      <c r="F74" s="371"/>
      <c r="G74" s="358" t="s">
        <v>386</v>
      </c>
      <c r="H74" s="358"/>
      <c r="I74" s="135">
        <f>I29</f>
        <v>2161.16</v>
      </c>
      <c r="J74" s="134"/>
      <c r="K74" s="179"/>
      <c r="L74" s="109"/>
    </row>
    <row r="75" spans="1:12" ht="15.75" customHeight="1">
      <c r="A75" s="371"/>
      <c r="B75" s="371"/>
      <c r="C75" s="371"/>
      <c r="D75" s="371"/>
      <c r="E75" s="371"/>
      <c r="F75" s="371"/>
      <c r="G75" s="358" t="s">
        <v>430</v>
      </c>
      <c r="H75" s="358"/>
      <c r="I75" s="135">
        <f>I62</f>
        <v>1879.9679999999998</v>
      </c>
      <c r="J75" s="134"/>
      <c r="K75" s="179"/>
      <c r="L75" s="109"/>
    </row>
    <row r="76" spans="1:12" ht="15.75" customHeight="1">
      <c r="A76" s="371"/>
      <c r="B76" s="371"/>
      <c r="C76" s="371"/>
      <c r="D76" s="371"/>
      <c r="E76" s="371"/>
      <c r="F76" s="371"/>
      <c r="G76" s="358" t="s">
        <v>440</v>
      </c>
      <c r="H76" s="358"/>
      <c r="I76" s="135">
        <f>I73</f>
        <v>280.45</v>
      </c>
      <c r="J76" s="134"/>
      <c r="K76" s="179"/>
      <c r="L76" s="109"/>
    </row>
    <row r="77" spans="1:12" ht="15.75" customHeight="1">
      <c r="A77" s="371"/>
      <c r="B77" s="371"/>
      <c r="C77" s="371"/>
      <c r="D77" s="371"/>
      <c r="E77" s="371"/>
      <c r="F77" s="371"/>
      <c r="G77" s="359" t="s">
        <v>389</v>
      </c>
      <c r="H77" s="359"/>
      <c r="I77" s="140">
        <f>SUM(I74:I76)</f>
        <v>4321.5779999999995</v>
      </c>
      <c r="J77" s="134"/>
      <c r="K77" s="179"/>
      <c r="L77" s="109"/>
    </row>
    <row r="78" spans="1:12" ht="15.75" customHeight="1">
      <c r="A78" s="351" t="s">
        <v>441</v>
      </c>
      <c r="B78" s="351"/>
      <c r="C78" s="351"/>
      <c r="D78" s="351"/>
      <c r="E78" s="351"/>
      <c r="F78" s="351"/>
      <c r="G78" s="351"/>
      <c r="H78" s="351"/>
      <c r="I78" s="351"/>
      <c r="J78" s="131"/>
      <c r="K78" s="179"/>
      <c r="L78" s="109"/>
    </row>
    <row r="79" spans="1:12" ht="15.75" customHeight="1">
      <c r="A79" s="351" t="s">
        <v>442</v>
      </c>
      <c r="B79" s="351"/>
      <c r="C79" s="351"/>
      <c r="D79" s="351"/>
      <c r="E79" s="351"/>
      <c r="F79" s="351"/>
      <c r="G79" s="351"/>
      <c r="H79" s="96" t="s">
        <v>362</v>
      </c>
      <c r="I79" s="96" t="s">
        <v>363</v>
      </c>
      <c r="J79" s="134"/>
      <c r="K79" s="179"/>
      <c r="L79" s="180"/>
    </row>
    <row r="80" spans="1:12" ht="15.75" customHeight="1">
      <c r="A80" s="95" t="s">
        <v>319</v>
      </c>
      <c r="B80" s="352" t="s">
        <v>443</v>
      </c>
      <c r="C80" s="352"/>
      <c r="D80" s="352"/>
      <c r="E80" s="352"/>
      <c r="F80" s="352"/>
      <c r="G80" s="352"/>
      <c r="H80" s="97">
        <f>ROUND(((1+1/3)/12)/12,4)</f>
        <v>9.2999999999999992E-3</v>
      </c>
      <c r="I80" s="133">
        <f t="shared" ref="I80:I85" si="3">ROUND(H80*$I$77,2)</f>
        <v>40.19</v>
      </c>
      <c r="J80" s="134"/>
      <c r="K80" s="179"/>
      <c r="L80" s="109"/>
    </row>
    <row r="81" spans="1:12" ht="15.75" customHeight="1">
      <c r="A81" s="95" t="s">
        <v>322</v>
      </c>
      <c r="B81" s="352" t="s">
        <v>444</v>
      </c>
      <c r="C81" s="352"/>
      <c r="D81" s="352"/>
      <c r="E81" s="352"/>
      <c r="F81" s="352"/>
      <c r="G81" s="352"/>
      <c r="H81" s="97">
        <f>ROUND(2/30/12,4)</f>
        <v>5.5999999999999999E-3</v>
      </c>
      <c r="I81" s="133">
        <f t="shared" si="3"/>
        <v>24.2</v>
      </c>
      <c r="J81" s="134"/>
      <c r="K81" s="109"/>
      <c r="L81" s="109"/>
    </row>
    <row r="82" spans="1:12" ht="15.75" customHeight="1">
      <c r="A82" s="95" t="s">
        <v>326</v>
      </c>
      <c r="B82" s="352" t="s">
        <v>445</v>
      </c>
      <c r="C82" s="352"/>
      <c r="D82" s="352"/>
      <c r="E82" s="352"/>
      <c r="F82" s="352"/>
      <c r="G82" s="352"/>
      <c r="H82" s="97">
        <f>ROUND(((5/30)/12)*2%,4)</f>
        <v>2.9999999999999997E-4</v>
      </c>
      <c r="I82" s="133">
        <f t="shared" si="3"/>
        <v>1.3</v>
      </c>
      <c r="J82" s="134"/>
      <c r="K82" s="109"/>
      <c r="L82" s="109"/>
    </row>
    <row r="83" spans="1:12" ht="15.75" customHeight="1">
      <c r="A83" s="95" t="s">
        <v>330</v>
      </c>
      <c r="B83" s="352" t="s">
        <v>446</v>
      </c>
      <c r="C83" s="352"/>
      <c r="D83" s="352"/>
      <c r="E83" s="352"/>
      <c r="F83" s="352"/>
      <c r="G83" s="352"/>
      <c r="H83" s="97">
        <f>ROUND(((15/30)/12)*8%,4)</f>
        <v>3.3E-3</v>
      </c>
      <c r="I83" s="133">
        <f t="shared" si="3"/>
        <v>14.26</v>
      </c>
      <c r="J83" s="134"/>
      <c r="K83" s="109"/>
      <c r="L83" s="109"/>
    </row>
    <row r="84" spans="1:12" ht="15.75" customHeight="1">
      <c r="A84" s="95" t="s">
        <v>372</v>
      </c>
      <c r="B84" s="352" t="s">
        <v>447</v>
      </c>
      <c r="C84" s="352"/>
      <c r="D84" s="352"/>
      <c r="E84" s="352"/>
      <c r="F84" s="352"/>
      <c r="G84" s="352"/>
      <c r="H84" s="97">
        <f>ROUND(((1+1/3)/12*4/12)*2%,4)</f>
        <v>6.9999999999999999E-4</v>
      </c>
      <c r="I84" s="133">
        <f t="shared" si="3"/>
        <v>3.03</v>
      </c>
      <c r="J84" s="134"/>
      <c r="K84" s="109"/>
      <c r="L84" s="109"/>
    </row>
    <row r="85" spans="1:12" ht="15.75" customHeight="1">
      <c r="A85" s="95" t="s">
        <v>374</v>
      </c>
      <c r="B85" s="352" t="s">
        <v>448</v>
      </c>
      <c r="C85" s="352"/>
      <c r="D85" s="352"/>
      <c r="E85" s="352"/>
      <c r="F85" s="352"/>
      <c r="G85" s="352"/>
      <c r="H85" s="97">
        <v>0</v>
      </c>
      <c r="I85" s="133">
        <f t="shared" si="3"/>
        <v>0</v>
      </c>
      <c r="J85" s="134"/>
      <c r="K85" s="109"/>
      <c r="L85" s="109"/>
    </row>
    <row r="86" spans="1:12" ht="15.75" customHeight="1">
      <c r="A86" s="351" t="s">
        <v>449</v>
      </c>
      <c r="B86" s="351"/>
      <c r="C86" s="351"/>
      <c r="D86" s="351"/>
      <c r="E86" s="351"/>
      <c r="F86" s="351"/>
      <c r="G86" s="351"/>
      <c r="H86" s="98">
        <f>SUM(H80:H85)</f>
        <v>1.9199999999999998E-2</v>
      </c>
      <c r="I86" s="129">
        <f>SUM(I80:I85)</f>
        <v>82.98</v>
      </c>
      <c r="J86" s="134"/>
      <c r="K86" s="109"/>
      <c r="L86" s="181"/>
    </row>
    <row r="87" spans="1:12" ht="15.75" customHeight="1">
      <c r="A87" s="362"/>
      <c r="B87" s="362"/>
      <c r="C87" s="362"/>
      <c r="D87" s="362"/>
      <c r="E87" s="362"/>
      <c r="F87" s="362"/>
      <c r="G87" s="362"/>
      <c r="H87" s="362"/>
      <c r="I87" s="362"/>
      <c r="J87" s="134"/>
      <c r="K87" s="182"/>
      <c r="L87" s="109"/>
    </row>
    <row r="88" spans="1:12" ht="15.75" customHeight="1">
      <c r="A88" s="351" t="s">
        <v>450</v>
      </c>
      <c r="B88" s="351"/>
      <c r="C88" s="351"/>
      <c r="D88" s="351"/>
      <c r="E88" s="351"/>
      <c r="F88" s="351"/>
      <c r="G88" s="351"/>
      <c r="H88" s="96" t="s">
        <v>362</v>
      </c>
      <c r="I88" s="96" t="s">
        <v>363</v>
      </c>
      <c r="J88" s="134"/>
      <c r="K88" s="109"/>
      <c r="L88" s="109"/>
    </row>
    <row r="89" spans="1:12" ht="15.75" customHeight="1">
      <c r="A89" s="95" t="s">
        <v>319</v>
      </c>
      <c r="B89" s="352" t="s">
        <v>451</v>
      </c>
      <c r="C89" s="352"/>
      <c r="D89" s="352"/>
      <c r="E89" s="352"/>
      <c r="F89" s="352"/>
      <c r="G89" s="352"/>
      <c r="H89" s="97">
        <v>0</v>
      </c>
      <c r="I89" s="133">
        <f>I29*H89</f>
        <v>0</v>
      </c>
      <c r="J89" s="134"/>
      <c r="K89" s="109"/>
      <c r="L89" s="109"/>
    </row>
    <row r="90" spans="1:12" ht="15.75" customHeight="1">
      <c r="A90" s="351" t="s">
        <v>452</v>
      </c>
      <c r="B90" s="351"/>
      <c r="C90" s="351"/>
      <c r="D90" s="351"/>
      <c r="E90" s="351"/>
      <c r="F90" s="351"/>
      <c r="G90" s="351"/>
      <c r="H90" s="98">
        <f>H89</f>
        <v>0</v>
      </c>
      <c r="I90" s="129">
        <f>I89</f>
        <v>0</v>
      </c>
      <c r="J90" s="134"/>
      <c r="K90" s="183"/>
      <c r="L90" s="109"/>
    </row>
    <row r="91" spans="1:12" ht="15.75" customHeight="1">
      <c r="A91" s="362"/>
      <c r="B91" s="362"/>
      <c r="C91" s="362"/>
      <c r="D91" s="362"/>
      <c r="E91" s="362"/>
      <c r="F91" s="362"/>
      <c r="G91" s="362"/>
      <c r="H91" s="362"/>
      <c r="I91" s="362"/>
      <c r="J91" s="134"/>
      <c r="K91" s="109"/>
      <c r="L91" s="109"/>
    </row>
    <row r="92" spans="1:12" ht="15.75" customHeight="1">
      <c r="A92" s="351" t="s">
        <v>453</v>
      </c>
      <c r="B92" s="351"/>
      <c r="C92" s="351"/>
      <c r="D92" s="351"/>
      <c r="E92" s="351"/>
      <c r="F92" s="351"/>
      <c r="G92" s="351"/>
      <c r="H92" s="351"/>
      <c r="I92" s="351"/>
      <c r="J92" s="134"/>
      <c r="K92" s="109"/>
      <c r="L92" s="109"/>
    </row>
    <row r="93" spans="1:12" ht="15.75" customHeight="1">
      <c r="A93" s="351" t="s">
        <v>454</v>
      </c>
      <c r="B93" s="351"/>
      <c r="C93" s="351"/>
      <c r="D93" s="351"/>
      <c r="E93" s="351"/>
      <c r="F93" s="351"/>
      <c r="G93" s="351"/>
      <c r="H93" s="351"/>
      <c r="I93" s="96" t="s">
        <v>363</v>
      </c>
      <c r="J93" s="134"/>
      <c r="K93" s="109"/>
      <c r="L93" s="109"/>
    </row>
    <row r="94" spans="1:12" ht="15.75" customHeight="1">
      <c r="A94" s="95" t="s">
        <v>455</v>
      </c>
      <c r="B94" s="352" t="s">
        <v>456</v>
      </c>
      <c r="C94" s="352"/>
      <c r="D94" s="352"/>
      <c r="E94" s="352"/>
      <c r="F94" s="352"/>
      <c r="G94" s="352"/>
      <c r="H94" s="352"/>
      <c r="I94" s="133">
        <f>I86</f>
        <v>82.98</v>
      </c>
      <c r="J94" s="134"/>
      <c r="K94" s="109"/>
      <c r="L94" s="109"/>
    </row>
    <row r="95" spans="1:12" ht="15.75" customHeight="1">
      <c r="A95" s="95" t="s">
        <v>457</v>
      </c>
      <c r="B95" s="352" t="s">
        <v>458</v>
      </c>
      <c r="C95" s="352"/>
      <c r="D95" s="352"/>
      <c r="E95" s="352"/>
      <c r="F95" s="352"/>
      <c r="G95" s="352"/>
      <c r="H95" s="352"/>
      <c r="I95" s="133">
        <f>I90</f>
        <v>0</v>
      </c>
      <c r="J95" s="134"/>
      <c r="K95" s="109"/>
      <c r="L95" s="109"/>
    </row>
    <row r="96" spans="1:12" ht="15.75" customHeight="1">
      <c r="A96" s="351" t="s">
        <v>459</v>
      </c>
      <c r="B96" s="351"/>
      <c r="C96" s="351"/>
      <c r="D96" s="351"/>
      <c r="E96" s="351"/>
      <c r="F96" s="351"/>
      <c r="G96" s="351"/>
      <c r="H96" s="351"/>
      <c r="I96" s="129">
        <f>SUM(I94:I95)</f>
        <v>82.98</v>
      </c>
      <c r="J96" s="134"/>
      <c r="K96" s="109"/>
      <c r="L96" s="109"/>
    </row>
    <row r="97" spans="1:12" ht="15.75" customHeight="1">
      <c r="A97" s="362"/>
      <c r="B97" s="362"/>
      <c r="C97" s="362"/>
      <c r="D97" s="362"/>
      <c r="E97" s="362"/>
      <c r="F97" s="362"/>
      <c r="G97" s="362"/>
      <c r="H97" s="362"/>
      <c r="I97" s="362"/>
      <c r="J97" s="134"/>
      <c r="K97" s="109"/>
      <c r="L97" s="109"/>
    </row>
    <row r="98" spans="1:12" ht="15.75" customHeight="1">
      <c r="A98" s="351" t="s">
        <v>460</v>
      </c>
      <c r="B98" s="351"/>
      <c r="C98" s="351"/>
      <c r="D98" s="351"/>
      <c r="E98" s="351"/>
      <c r="F98" s="351"/>
      <c r="G98" s="351"/>
      <c r="H98" s="351"/>
      <c r="I98" s="351"/>
      <c r="J98" s="134"/>
      <c r="K98" s="109"/>
      <c r="L98" s="109"/>
    </row>
    <row r="99" spans="1:12" ht="15.75" customHeight="1">
      <c r="A99" s="96">
        <v>5</v>
      </c>
      <c r="B99" s="351" t="s">
        <v>461</v>
      </c>
      <c r="C99" s="351"/>
      <c r="D99" s="351"/>
      <c r="E99" s="351"/>
      <c r="F99" s="351"/>
      <c r="G99" s="351"/>
      <c r="H99" s="96"/>
      <c r="I99" s="96" t="s">
        <v>363</v>
      </c>
      <c r="J99" s="134"/>
      <c r="K99" s="109"/>
      <c r="L99" s="109"/>
    </row>
    <row r="100" spans="1:12" ht="15.75" customHeight="1">
      <c r="A100" s="163" t="s">
        <v>319</v>
      </c>
      <c r="B100" s="357" t="s">
        <v>462</v>
      </c>
      <c r="C100" s="357"/>
      <c r="D100" s="357"/>
      <c r="E100" s="357"/>
      <c r="F100" s="357"/>
      <c r="G100" s="357"/>
      <c r="H100" s="164" t="s">
        <v>303</v>
      </c>
      <c r="I100" s="403">
        <v>625.34</v>
      </c>
      <c r="J100" s="134"/>
      <c r="K100" s="109"/>
      <c r="L100" s="109"/>
    </row>
    <row r="101" spans="1:12" ht="15.75" customHeight="1">
      <c r="A101" s="163" t="s">
        <v>322</v>
      </c>
      <c r="B101" s="357" t="s">
        <v>463</v>
      </c>
      <c r="C101" s="357"/>
      <c r="D101" s="357"/>
      <c r="E101" s="357"/>
      <c r="F101" s="357"/>
      <c r="G101" s="357"/>
      <c r="H101" s="164" t="s">
        <v>303</v>
      </c>
      <c r="I101" s="133">
        <f>EPIS!F23</f>
        <v>35.575000000000003</v>
      </c>
      <c r="J101" s="134"/>
      <c r="K101" s="109"/>
      <c r="L101" s="109"/>
    </row>
    <row r="102" spans="1:12" ht="15.75" customHeight="1">
      <c r="A102" s="163" t="s">
        <v>326</v>
      </c>
      <c r="B102" s="357" t="s">
        <v>464</v>
      </c>
      <c r="C102" s="357"/>
      <c r="D102" s="357"/>
      <c r="E102" s="357"/>
      <c r="F102" s="357"/>
      <c r="G102" s="357"/>
      <c r="H102" s="164" t="s">
        <v>303</v>
      </c>
      <c r="I102" s="403">
        <v>32.08</v>
      </c>
      <c r="J102" s="134"/>
      <c r="K102" s="109"/>
      <c r="L102" s="109"/>
    </row>
    <row r="103" spans="1:12" ht="15.75" customHeight="1">
      <c r="A103" s="163" t="s">
        <v>330</v>
      </c>
      <c r="B103" s="357" t="s">
        <v>465</v>
      </c>
      <c r="C103" s="357"/>
      <c r="D103" s="357"/>
      <c r="E103" s="357"/>
      <c r="F103" s="357"/>
      <c r="G103" s="357"/>
      <c r="H103" s="165" t="s">
        <v>303</v>
      </c>
      <c r="I103" s="403">
        <v>0.91</v>
      </c>
      <c r="J103" s="134"/>
      <c r="K103" s="109"/>
      <c r="L103" s="109"/>
    </row>
    <row r="104" spans="1:12" ht="15.75" customHeight="1">
      <c r="A104" s="351" t="s">
        <v>466</v>
      </c>
      <c r="B104" s="351"/>
      <c r="C104" s="351"/>
      <c r="D104" s="351"/>
      <c r="E104" s="351"/>
      <c r="F104" s="351"/>
      <c r="G104" s="351"/>
      <c r="H104" s="98" t="s">
        <v>303</v>
      </c>
      <c r="I104" s="129">
        <f>SUM(I100:I103)</f>
        <v>693.90500000000009</v>
      </c>
      <c r="J104" s="134"/>
      <c r="K104" s="109"/>
      <c r="L104" s="109"/>
    </row>
    <row r="105" spans="1:12" ht="15.75" customHeight="1">
      <c r="A105" s="371" t="s">
        <v>467</v>
      </c>
      <c r="B105" s="371"/>
      <c r="C105" s="371"/>
      <c r="D105" s="371"/>
      <c r="E105" s="371"/>
      <c r="F105" s="371"/>
      <c r="G105" s="358" t="s">
        <v>386</v>
      </c>
      <c r="H105" s="358"/>
      <c r="I105" s="135">
        <f>I29</f>
        <v>2161.16</v>
      </c>
      <c r="J105" s="134"/>
      <c r="K105" s="109"/>
      <c r="L105" s="109"/>
    </row>
    <row r="106" spans="1:12" ht="15.75" customHeight="1">
      <c r="A106" s="371"/>
      <c r="B106" s="371"/>
      <c r="C106" s="371"/>
      <c r="D106" s="371"/>
      <c r="E106" s="371"/>
      <c r="F106" s="371"/>
      <c r="G106" s="358" t="s">
        <v>430</v>
      </c>
      <c r="H106" s="358"/>
      <c r="I106" s="135">
        <f>I62</f>
        <v>1879.9679999999998</v>
      </c>
      <c r="J106" s="134"/>
      <c r="K106" s="109"/>
      <c r="L106" s="109"/>
    </row>
    <row r="107" spans="1:12" ht="15.75" customHeight="1">
      <c r="A107" s="371"/>
      <c r="B107" s="371"/>
      <c r="C107" s="371"/>
      <c r="D107" s="371"/>
      <c r="E107" s="371"/>
      <c r="F107" s="371"/>
      <c r="G107" s="358" t="s">
        <v>440</v>
      </c>
      <c r="H107" s="358"/>
      <c r="I107" s="135">
        <f>I73</f>
        <v>280.45</v>
      </c>
      <c r="J107" s="134"/>
      <c r="K107" s="109"/>
      <c r="L107" s="109"/>
    </row>
    <row r="108" spans="1:12" ht="15.75" customHeight="1">
      <c r="A108" s="371"/>
      <c r="B108" s="371"/>
      <c r="C108" s="371"/>
      <c r="D108" s="371"/>
      <c r="E108" s="371"/>
      <c r="F108" s="371"/>
      <c r="G108" s="358" t="s">
        <v>468</v>
      </c>
      <c r="H108" s="358"/>
      <c r="I108" s="135">
        <f>I96</f>
        <v>82.98</v>
      </c>
      <c r="J108" s="134"/>
      <c r="K108" s="141"/>
      <c r="L108" s="141"/>
    </row>
    <row r="109" spans="1:12" ht="15.75" customHeight="1">
      <c r="A109" s="371"/>
      <c r="B109" s="371"/>
      <c r="C109" s="371"/>
      <c r="D109" s="371"/>
      <c r="E109" s="371"/>
      <c r="F109" s="371"/>
      <c r="G109" s="358" t="s">
        <v>469</v>
      </c>
      <c r="H109" s="358"/>
      <c r="I109" s="135">
        <f>I104</f>
        <v>693.90500000000009</v>
      </c>
      <c r="J109" s="134"/>
      <c r="K109" s="141"/>
      <c r="L109" s="141"/>
    </row>
    <row r="110" spans="1:12" ht="15.75" customHeight="1">
      <c r="A110" s="371"/>
      <c r="B110" s="371"/>
      <c r="C110" s="371"/>
      <c r="D110" s="371"/>
      <c r="E110" s="371"/>
      <c r="F110" s="371"/>
      <c r="G110" s="359" t="s">
        <v>389</v>
      </c>
      <c r="H110" s="359"/>
      <c r="I110" s="140">
        <f>SUM(I105:I109)</f>
        <v>5098.4629999999988</v>
      </c>
      <c r="J110" s="134"/>
      <c r="K110" s="109"/>
      <c r="L110" s="109"/>
    </row>
    <row r="111" spans="1:12" ht="15.75" customHeight="1">
      <c r="A111" s="351" t="s">
        <v>470</v>
      </c>
      <c r="B111" s="351"/>
      <c r="C111" s="351"/>
      <c r="D111" s="351"/>
      <c r="E111" s="351"/>
      <c r="F111" s="351"/>
      <c r="G111" s="351"/>
      <c r="H111" s="351"/>
      <c r="I111" s="351"/>
      <c r="J111" s="134"/>
      <c r="K111" s="109"/>
      <c r="L111" s="109"/>
    </row>
    <row r="112" spans="1:12" ht="15.75" customHeight="1">
      <c r="A112" s="96">
        <v>6</v>
      </c>
      <c r="B112" s="351" t="s">
        <v>471</v>
      </c>
      <c r="C112" s="351"/>
      <c r="D112" s="351"/>
      <c r="E112" s="351"/>
      <c r="F112" s="351"/>
      <c r="G112" s="351"/>
      <c r="H112" s="96" t="s">
        <v>362</v>
      </c>
      <c r="I112" s="96" t="s">
        <v>363</v>
      </c>
      <c r="J112" s="134"/>
      <c r="K112" s="109"/>
      <c r="L112" s="109"/>
    </row>
    <row r="113" spans="1:12" ht="15.75" customHeight="1">
      <c r="A113" s="95" t="s">
        <v>319</v>
      </c>
      <c r="B113" s="352" t="s">
        <v>472</v>
      </c>
      <c r="C113" s="352"/>
      <c r="D113" s="352"/>
      <c r="E113" s="352"/>
      <c r="F113" s="352"/>
      <c r="G113" s="352"/>
      <c r="H113" s="404">
        <v>1.4999999999999999E-2</v>
      </c>
      <c r="I113" s="133">
        <f>ROUND(H113*I110,2)</f>
        <v>76.48</v>
      </c>
      <c r="J113" s="134"/>
      <c r="K113" s="109"/>
      <c r="L113" s="109"/>
    </row>
    <row r="114" spans="1:12" ht="15.75" customHeight="1">
      <c r="A114" s="95" t="s">
        <v>322</v>
      </c>
      <c r="B114" s="352" t="s">
        <v>473</v>
      </c>
      <c r="C114" s="352"/>
      <c r="D114" s="352"/>
      <c r="E114" s="352"/>
      <c r="F114" s="352"/>
      <c r="G114" s="352"/>
      <c r="H114" s="404">
        <v>1.4999999999999999E-2</v>
      </c>
      <c r="I114" s="133">
        <f>ROUND(H114*(I110+I113),2)</f>
        <v>77.62</v>
      </c>
      <c r="J114" s="134"/>
      <c r="K114" s="109"/>
      <c r="L114" s="109"/>
    </row>
    <row r="115" spans="1:12" ht="15.75" customHeight="1">
      <c r="A115" s="95" t="s">
        <v>326</v>
      </c>
      <c r="B115" s="364" t="s">
        <v>474</v>
      </c>
      <c r="C115" s="364"/>
      <c r="D115" s="364"/>
      <c r="E115" s="364"/>
      <c r="F115" s="364"/>
      <c r="G115" s="364"/>
      <c r="H115" s="97"/>
      <c r="I115" s="184"/>
      <c r="J115" s="134"/>
      <c r="K115" s="109"/>
      <c r="L115" s="109"/>
    </row>
    <row r="116" spans="1:12" ht="15.75" customHeight="1">
      <c r="A116" s="95" t="s">
        <v>475</v>
      </c>
      <c r="B116" s="352" t="s">
        <v>476</v>
      </c>
      <c r="C116" s="352"/>
      <c r="D116" s="352"/>
      <c r="E116" s="352"/>
      <c r="F116" s="352"/>
      <c r="G116" s="352"/>
      <c r="H116" s="404">
        <v>5.7999999999999996E-3</v>
      </c>
      <c r="I116" s="133">
        <f>ROUND($I$126*H116,2)</f>
        <v>33.200000000000003</v>
      </c>
      <c r="J116" s="134"/>
      <c r="K116" s="109"/>
      <c r="L116" s="109"/>
    </row>
    <row r="117" spans="1:12" ht="15.75" customHeight="1">
      <c r="A117" s="95" t="s">
        <v>477</v>
      </c>
      <c r="B117" s="352" t="s">
        <v>376</v>
      </c>
      <c r="C117" s="352"/>
      <c r="D117" s="352"/>
      <c r="E117" s="352"/>
      <c r="F117" s="352"/>
      <c r="G117" s="352"/>
      <c r="H117" s="404">
        <v>2.6599999999999999E-2</v>
      </c>
      <c r="I117" s="133">
        <f>ROUND($I$126*H117,2)</f>
        <v>152.26</v>
      </c>
      <c r="J117" s="134"/>
      <c r="K117" s="109"/>
      <c r="L117" s="109"/>
    </row>
    <row r="118" spans="1:12" ht="15.75" customHeight="1">
      <c r="A118" s="95" t="s">
        <v>478</v>
      </c>
      <c r="B118" s="352" t="s">
        <v>479</v>
      </c>
      <c r="C118" s="352"/>
      <c r="D118" s="352"/>
      <c r="E118" s="352"/>
      <c r="F118" s="352"/>
      <c r="G118" s="352"/>
      <c r="H118" s="167">
        <v>0.05</v>
      </c>
      <c r="I118" s="133">
        <f>ROUND($I$126*H118,2)</f>
        <v>286.20999999999998</v>
      </c>
      <c r="J118" s="134"/>
      <c r="K118" s="109"/>
      <c r="L118" s="109"/>
    </row>
    <row r="119" spans="1:12" ht="15.75" customHeight="1">
      <c r="A119" s="351" t="s">
        <v>480</v>
      </c>
      <c r="B119" s="351"/>
      <c r="C119" s="351"/>
      <c r="D119" s="351"/>
      <c r="E119" s="351"/>
      <c r="F119" s="351"/>
      <c r="G119" s="351"/>
      <c r="H119" s="168">
        <f>SUM(H113:H118)</f>
        <v>0.1124</v>
      </c>
      <c r="I119" s="129">
        <f>SUM(I113:I118)</f>
        <v>625.77</v>
      </c>
      <c r="J119" s="134"/>
      <c r="K119" s="109"/>
      <c r="L119" s="109"/>
    </row>
    <row r="120" spans="1:12" ht="15.75" customHeight="1">
      <c r="A120" s="353"/>
      <c r="B120" s="353"/>
      <c r="C120" s="353"/>
      <c r="D120" s="353"/>
      <c r="E120" s="353"/>
      <c r="F120" s="353"/>
      <c r="G120" s="353"/>
      <c r="H120" s="353"/>
      <c r="I120" s="353"/>
      <c r="J120" s="134"/>
      <c r="K120" s="109"/>
      <c r="L120" s="109"/>
    </row>
    <row r="121" spans="1:12" ht="15.75" customHeight="1">
      <c r="A121" s="172" t="s">
        <v>481</v>
      </c>
      <c r="B121" s="365" t="s">
        <v>482</v>
      </c>
      <c r="C121" s="365"/>
      <c r="D121" s="365"/>
      <c r="E121" s="365"/>
      <c r="F121" s="365"/>
      <c r="G121" s="365"/>
      <c r="H121" s="174">
        <f>SUM(H116+H117+H118)</f>
        <v>8.2400000000000001E-2</v>
      </c>
      <c r="I121" s="186"/>
      <c r="J121" s="134"/>
      <c r="K121" s="109"/>
      <c r="L121" s="109"/>
    </row>
    <row r="122" spans="1:12" ht="15.75" customHeight="1">
      <c r="A122" s="172"/>
      <c r="B122" s="365">
        <v>100</v>
      </c>
      <c r="C122" s="365"/>
      <c r="D122" s="365"/>
      <c r="E122" s="365"/>
      <c r="F122" s="365"/>
      <c r="G122" s="365"/>
      <c r="H122" s="174"/>
      <c r="I122" s="186"/>
      <c r="J122" s="134"/>
      <c r="K122" s="109"/>
      <c r="L122" s="109"/>
    </row>
    <row r="123" spans="1:12" ht="15.75" customHeight="1">
      <c r="A123" s="175"/>
      <c r="B123" s="176"/>
      <c r="C123" s="176"/>
      <c r="D123" s="176"/>
      <c r="E123" s="176"/>
      <c r="F123" s="176"/>
      <c r="G123" s="176"/>
      <c r="H123" s="176"/>
      <c r="I123" s="187"/>
      <c r="J123" s="134"/>
      <c r="K123" s="141"/>
      <c r="L123" s="141"/>
    </row>
    <row r="124" spans="1:12" ht="15.75" customHeight="1">
      <c r="A124" s="172" t="s">
        <v>483</v>
      </c>
      <c r="B124" s="365" t="s">
        <v>484</v>
      </c>
      <c r="C124" s="365"/>
      <c r="D124" s="365"/>
      <c r="E124" s="365"/>
      <c r="F124" s="365"/>
      <c r="G124" s="365"/>
      <c r="H124" s="174"/>
      <c r="I124" s="186">
        <f>I110+I113+I114</f>
        <v>5252.5629999999983</v>
      </c>
      <c r="J124" s="134"/>
      <c r="K124" s="109"/>
      <c r="L124" s="109"/>
    </row>
    <row r="125" spans="1:12" ht="15.75" customHeight="1">
      <c r="A125" s="177"/>
      <c r="B125" s="178"/>
      <c r="C125" s="178"/>
      <c r="D125" s="178"/>
      <c r="E125" s="178"/>
      <c r="F125" s="178"/>
      <c r="G125" s="178"/>
      <c r="H125" s="178"/>
      <c r="I125" s="188"/>
      <c r="J125" s="134"/>
      <c r="K125" s="109"/>
      <c r="L125" s="109"/>
    </row>
    <row r="126" spans="1:12" ht="15.75" customHeight="1">
      <c r="A126" s="172" t="s">
        <v>485</v>
      </c>
      <c r="B126" s="365" t="s">
        <v>486</v>
      </c>
      <c r="C126" s="365"/>
      <c r="D126" s="365"/>
      <c r="E126" s="365"/>
      <c r="F126" s="365"/>
      <c r="G126" s="365"/>
      <c r="H126" s="174"/>
      <c r="I126" s="186">
        <f>ROUND(I124/(1-H121),2)</f>
        <v>5724.24</v>
      </c>
      <c r="J126" s="134"/>
      <c r="K126" s="109"/>
      <c r="L126" s="109"/>
    </row>
    <row r="127" spans="1:12" ht="15.75" customHeight="1">
      <c r="A127" s="172"/>
      <c r="B127" s="173"/>
      <c r="C127" s="173"/>
      <c r="D127" s="173"/>
      <c r="E127" s="173"/>
      <c r="F127" s="173"/>
      <c r="G127" s="173"/>
      <c r="H127" s="174"/>
      <c r="I127" s="186"/>
      <c r="J127" s="134"/>
      <c r="K127" s="109"/>
      <c r="L127" s="109"/>
    </row>
    <row r="128" spans="1:12" ht="15.75" customHeight="1">
      <c r="A128" s="172"/>
      <c r="B128" s="365" t="s">
        <v>487</v>
      </c>
      <c r="C128" s="365"/>
      <c r="D128" s="365"/>
      <c r="E128" s="365"/>
      <c r="F128" s="365"/>
      <c r="G128" s="365"/>
      <c r="H128" s="174"/>
      <c r="I128" s="186">
        <f>I126-I124</f>
        <v>471.6770000000015</v>
      </c>
      <c r="J128" s="134"/>
      <c r="K128" s="109"/>
      <c r="L128" s="109"/>
    </row>
    <row r="129" spans="1:12" ht="15.75" customHeight="1">
      <c r="A129" s="192"/>
      <c r="B129" s="193"/>
      <c r="C129" s="193"/>
      <c r="D129" s="193"/>
      <c r="E129" s="193"/>
      <c r="F129" s="193"/>
      <c r="G129" s="193"/>
      <c r="H129" s="193"/>
      <c r="I129" s="198"/>
      <c r="J129" s="134"/>
      <c r="K129" s="109"/>
      <c r="L129" s="109"/>
    </row>
    <row r="130" spans="1:12" ht="15.75" customHeight="1">
      <c r="A130" s="351" t="s">
        <v>488</v>
      </c>
      <c r="B130" s="351"/>
      <c r="C130" s="351"/>
      <c r="D130" s="351"/>
      <c r="E130" s="351"/>
      <c r="F130" s="351"/>
      <c r="G130" s="351"/>
      <c r="H130" s="351"/>
      <c r="I130" s="351"/>
      <c r="J130" s="134"/>
      <c r="K130" s="109"/>
      <c r="L130" s="109"/>
    </row>
    <row r="131" spans="1:12" ht="15.75" customHeight="1">
      <c r="A131" s="351" t="s">
        <v>489</v>
      </c>
      <c r="B131" s="351"/>
      <c r="C131" s="351"/>
      <c r="D131" s="351"/>
      <c r="E131" s="351"/>
      <c r="F131" s="351"/>
      <c r="G131" s="351"/>
      <c r="H131" s="351"/>
      <c r="I131" s="96" t="s">
        <v>363</v>
      </c>
      <c r="J131" s="134"/>
      <c r="K131" s="141"/>
      <c r="L131" s="141"/>
    </row>
    <row r="132" spans="1:12" ht="15.75" customHeight="1">
      <c r="A132" s="63" t="s">
        <v>319</v>
      </c>
      <c r="B132" s="352" t="str">
        <f>A21</f>
        <v>MÓDULO 1 - COMPOSIÇÃO DA REMUNERAÇÃO</v>
      </c>
      <c r="C132" s="352"/>
      <c r="D132" s="352"/>
      <c r="E132" s="352"/>
      <c r="F132" s="352"/>
      <c r="G132" s="352"/>
      <c r="H132" s="352"/>
      <c r="I132" s="133">
        <f>I29</f>
        <v>2161.16</v>
      </c>
      <c r="J132" s="134"/>
      <c r="K132" s="141"/>
      <c r="L132" s="141"/>
    </row>
    <row r="133" spans="1:12" ht="15.75" customHeight="1">
      <c r="A133" s="63" t="s">
        <v>322</v>
      </c>
      <c r="B133" s="352" t="str">
        <f>A31</f>
        <v>MÓDULO 2 – ENCARGOS E BENEFÍCIOS ANUAIS, MENSAIS E DIÁRIOS</v>
      </c>
      <c r="C133" s="352"/>
      <c r="D133" s="352"/>
      <c r="E133" s="352"/>
      <c r="F133" s="352"/>
      <c r="G133" s="352"/>
      <c r="H133" s="352"/>
      <c r="I133" s="133">
        <f>I62</f>
        <v>1879.9679999999998</v>
      </c>
      <c r="J133" s="134"/>
      <c r="K133" s="141"/>
      <c r="L133" s="141"/>
    </row>
    <row r="134" spans="1:12" ht="15.75" customHeight="1">
      <c r="A134" s="63" t="s">
        <v>326</v>
      </c>
      <c r="B134" s="352" t="str">
        <f>A66</f>
        <v>MÓDULO 3 – PROVISÃO PARA RESCISÃO</v>
      </c>
      <c r="C134" s="352"/>
      <c r="D134" s="352"/>
      <c r="E134" s="352"/>
      <c r="F134" s="352"/>
      <c r="G134" s="352"/>
      <c r="H134" s="352"/>
      <c r="I134" s="133">
        <f>I73</f>
        <v>280.45</v>
      </c>
      <c r="J134" s="134"/>
      <c r="K134" s="100"/>
      <c r="L134" s="100"/>
    </row>
    <row r="135" spans="1:12" ht="15.75" customHeight="1">
      <c r="A135" s="63" t="s">
        <v>330</v>
      </c>
      <c r="B135" s="352" t="str">
        <f>A78</f>
        <v>MÓDULO 4 – CUSTO DE REPOSIÇÃO DO PROFISSIONAL AUSENTE</v>
      </c>
      <c r="C135" s="352"/>
      <c r="D135" s="352"/>
      <c r="E135" s="352"/>
      <c r="F135" s="352"/>
      <c r="G135" s="352"/>
      <c r="H135" s="352"/>
      <c r="I135" s="133">
        <f>I96</f>
        <v>82.98</v>
      </c>
      <c r="J135" s="190"/>
      <c r="K135" s="100"/>
      <c r="L135" s="100"/>
    </row>
    <row r="136" spans="1:12" ht="15.75" customHeight="1">
      <c r="A136" s="63" t="s">
        <v>372</v>
      </c>
      <c r="B136" s="352" t="str">
        <f>A98</f>
        <v>MÓDULO 5 – INSUMOS DIVERSOS</v>
      </c>
      <c r="C136" s="352"/>
      <c r="D136" s="352"/>
      <c r="E136" s="352"/>
      <c r="F136" s="352"/>
      <c r="G136" s="352"/>
      <c r="H136" s="352"/>
      <c r="I136" s="133">
        <f>I104</f>
        <v>693.90500000000009</v>
      </c>
      <c r="J136" s="134"/>
      <c r="K136" s="100"/>
      <c r="L136" s="100"/>
    </row>
    <row r="137" spans="1:12" ht="15.75" customHeight="1">
      <c r="A137" s="351" t="s">
        <v>490</v>
      </c>
      <c r="B137" s="351"/>
      <c r="C137" s="351"/>
      <c r="D137" s="351"/>
      <c r="E137" s="351"/>
      <c r="F137" s="351"/>
      <c r="G137" s="351"/>
      <c r="H137" s="351"/>
      <c r="I137" s="129">
        <f>SUM(I132:I136)</f>
        <v>5098.4629999999988</v>
      </c>
      <c r="J137" s="134"/>
    </row>
    <row r="138" spans="1:12" ht="15.75" customHeight="1">
      <c r="A138" s="63" t="s">
        <v>374</v>
      </c>
      <c r="B138" s="352" t="str">
        <f>A111</f>
        <v>MÓDULO 6 – CUSTOS INDIRETOS, TRIBUTOS E LUCRO</v>
      </c>
      <c r="C138" s="352"/>
      <c r="D138" s="352"/>
      <c r="E138" s="352"/>
      <c r="F138" s="352"/>
      <c r="G138" s="352"/>
      <c r="H138" s="352"/>
      <c r="I138" s="133">
        <f>I119</f>
        <v>625.77</v>
      </c>
      <c r="J138" s="191">
        <f>SUM(J28:J137)</f>
        <v>3748.9170400000007</v>
      </c>
    </row>
    <row r="139" spans="1:12" ht="15.75" customHeight="1">
      <c r="A139" s="351" t="s">
        <v>491</v>
      </c>
      <c r="B139" s="351"/>
      <c r="C139" s="351"/>
      <c r="D139" s="351"/>
      <c r="E139" s="351"/>
      <c r="F139" s="351"/>
      <c r="G139" s="351"/>
      <c r="H139" s="351"/>
      <c r="I139" s="129">
        <f>SUM(I137:I138)</f>
        <v>5724.2329999999984</v>
      </c>
    </row>
    <row r="140" spans="1:12" ht="15.75" customHeight="1">
      <c r="A140" s="194"/>
      <c r="B140" s="195"/>
      <c r="C140" s="195"/>
      <c r="D140" s="195"/>
      <c r="E140" s="195"/>
      <c r="F140" s="195"/>
      <c r="G140" s="195"/>
      <c r="H140" s="194"/>
    </row>
    <row r="141" spans="1:12" ht="15.75" customHeight="1">
      <c r="A141" s="196" t="s">
        <v>503</v>
      </c>
      <c r="B141" s="197"/>
      <c r="C141" s="197"/>
      <c r="D141" s="197"/>
      <c r="E141" s="197"/>
      <c r="F141" s="197"/>
      <c r="G141" s="197"/>
      <c r="H141" s="194"/>
    </row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0">
    <mergeCell ref="B134:H134"/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  <mergeCell ref="B121:G121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A120:I120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67" firstPageNumber="0" orientation="portrait" useFirstPageNumber="1" horizontalDpi="300" verticalDpi="300"/>
  <rowBreaks count="1" manualBreakCount="1">
    <brk id="65" max="16383" man="1"/>
  </rowBreaks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997"/>
  <sheetViews>
    <sheetView topLeftCell="B54" workbookViewId="0">
      <selection activeCell="B117" sqref="B117:G117"/>
    </sheetView>
  </sheetViews>
  <sheetFormatPr defaultColWidth="9" defaultRowHeight="15"/>
  <cols>
    <col min="1" max="1" width="7.42578125" customWidth="1"/>
    <col min="2" max="2" width="10.85546875" customWidth="1"/>
    <col min="3" max="4" width="14.85546875" customWidth="1"/>
    <col min="5" max="5" width="12.42578125" customWidth="1"/>
    <col min="6" max="6" width="10.42578125" customWidth="1"/>
    <col min="7" max="7" width="14.7109375" customWidth="1"/>
    <col min="8" max="8" width="17.28515625" customWidth="1"/>
    <col min="9" max="9" width="28.5703125" customWidth="1"/>
    <col min="10" max="10" width="24.7109375" customWidth="1"/>
    <col min="11" max="11" width="28.7109375" customWidth="1"/>
    <col min="12" max="12" width="17.85546875" customWidth="1"/>
    <col min="13" max="1025" width="14.42578125" customWidth="1"/>
  </cols>
  <sheetData>
    <row r="1" spans="1:12" ht="15.75">
      <c r="A1" s="348" t="s">
        <v>509</v>
      </c>
      <c r="B1" s="348"/>
      <c r="C1" s="348"/>
      <c r="D1" s="348"/>
      <c r="E1" s="348"/>
      <c r="F1" s="348"/>
      <c r="G1" s="348"/>
      <c r="H1" s="348"/>
      <c r="I1" s="348"/>
      <c r="J1" s="366" t="s">
        <v>315</v>
      </c>
      <c r="K1" s="100"/>
      <c r="L1" s="100"/>
    </row>
    <row r="2" spans="1:12" ht="15.75">
      <c r="A2" s="348"/>
      <c r="B2" s="348"/>
      <c r="C2" s="348"/>
      <c r="D2" s="348"/>
      <c r="E2" s="348"/>
      <c r="F2" s="348"/>
      <c r="G2" s="348"/>
      <c r="H2" s="348"/>
      <c r="I2" s="348"/>
      <c r="J2" s="366"/>
      <c r="K2" s="100"/>
      <c r="L2" s="100"/>
    </row>
    <row r="3" spans="1:12" ht="15.75">
      <c r="A3" s="348" t="s">
        <v>316</v>
      </c>
      <c r="B3" s="348"/>
      <c r="C3" s="348"/>
      <c r="D3" s="348"/>
      <c r="E3" s="348"/>
      <c r="F3" s="348"/>
      <c r="G3" s="348"/>
      <c r="H3" s="350" t="s">
        <v>317</v>
      </c>
      <c r="I3" s="350"/>
      <c r="J3" s="366"/>
      <c r="K3" s="100"/>
      <c r="L3" s="100"/>
    </row>
    <row r="4" spans="1:12" ht="15.75">
      <c r="A4" s="348"/>
      <c r="B4" s="348"/>
      <c r="C4" s="348"/>
      <c r="D4" s="348"/>
      <c r="E4" s="348"/>
      <c r="F4" s="348"/>
      <c r="G4" s="348"/>
      <c r="H4" s="348"/>
      <c r="I4" s="348"/>
      <c r="J4" s="366"/>
      <c r="K4" s="101"/>
      <c r="L4" s="101"/>
    </row>
    <row r="5" spans="1:12" ht="15.75">
      <c r="A5" s="351" t="s">
        <v>318</v>
      </c>
      <c r="B5" s="351"/>
      <c r="C5" s="351"/>
      <c r="D5" s="351"/>
      <c r="E5" s="351"/>
      <c r="F5" s="351"/>
      <c r="G5" s="351"/>
      <c r="H5" s="351"/>
      <c r="I5" s="351"/>
      <c r="J5" s="366"/>
      <c r="K5" s="100"/>
      <c r="L5" s="100"/>
    </row>
    <row r="6" spans="1:12" ht="15.75">
      <c r="A6" s="63" t="s">
        <v>319</v>
      </c>
      <c r="B6" s="352" t="s">
        <v>320</v>
      </c>
      <c r="C6" s="352"/>
      <c r="D6" s="352"/>
      <c r="E6" s="352"/>
      <c r="F6" s="352"/>
      <c r="G6" s="352"/>
      <c r="H6" s="352"/>
      <c r="I6" s="102"/>
      <c r="J6" s="366"/>
      <c r="K6" s="103" t="s">
        <v>321</v>
      </c>
      <c r="L6" s="104"/>
    </row>
    <row r="7" spans="1:12" ht="15.75">
      <c r="A7" s="63" t="s">
        <v>322</v>
      </c>
      <c r="B7" s="352" t="s">
        <v>323</v>
      </c>
      <c r="C7" s="352"/>
      <c r="D7" s="352"/>
      <c r="E7" s="352"/>
      <c r="F7" s="352"/>
      <c r="G7" s="352"/>
      <c r="H7" s="352"/>
      <c r="I7" s="63" t="s">
        <v>324</v>
      </c>
      <c r="J7" s="366"/>
      <c r="K7" s="105" t="s">
        <v>325</v>
      </c>
      <c r="L7" s="106"/>
    </row>
    <row r="8" spans="1:12" ht="15.75">
      <c r="A8" s="63" t="s">
        <v>326</v>
      </c>
      <c r="B8" s="352" t="s">
        <v>327</v>
      </c>
      <c r="C8" s="352"/>
      <c r="D8" s="352"/>
      <c r="E8" s="352"/>
      <c r="F8" s="352"/>
      <c r="G8" s="352"/>
      <c r="H8" s="352"/>
      <c r="I8" s="63" t="s">
        <v>328</v>
      </c>
      <c r="J8" s="366"/>
      <c r="K8" s="107" t="s">
        <v>329</v>
      </c>
      <c r="L8" s="108">
        <f>J138</f>
        <v>2851.2740400000002</v>
      </c>
    </row>
    <row r="9" spans="1:12" ht="15.75">
      <c r="A9" s="63" t="s">
        <v>330</v>
      </c>
      <c r="B9" s="352" t="s">
        <v>331</v>
      </c>
      <c r="C9" s="352"/>
      <c r="D9" s="352"/>
      <c r="E9" s="352"/>
      <c r="F9" s="352"/>
      <c r="G9" s="352"/>
      <c r="H9" s="352"/>
      <c r="I9" s="63">
        <v>12</v>
      </c>
      <c r="J9" s="366"/>
      <c r="K9" s="109"/>
      <c r="L9" s="109"/>
    </row>
    <row r="10" spans="1:12" ht="15.75">
      <c r="A10" s="353"/>
      <c r="B10" s="353"/>
      <c r="C10" s="353"/>
      <c r="D10" s="353"/>
      <c r="E10" s="353"/>
      <c r="F10" s="353"/>
      <c r="G10" s="353"/>
      <c r="H10" s="353"/>
      <c r="I10" s="353"/>
      <c r="J10" s="366"/>
      <c r="K10" s="103" t="s">
        <v>332</v>
      </c>
      <c r="L10" s="104"/>
    </row>
    <row r="11" spans="1:12" ht="12.75" customHeight="1">
      <c r="A11" s="351" t="s">
        <v>333</v>
      </c>
      <c r="B11" s="351"/>
      <c r="C11" s="351"/>
      <c r="D11" s="351"/>
      <c r="E11" s="351"/>
      <c r="F11" s="351"/>
      <c r="G11" s="351"/>
      <c r="H11" s="351"/>
      <c r="I11" s="351"/>
      <c r="J11" s="366"/>
      <c r="K11" s="110" t="s">
        <v>334</v>
      </c>
      <c r="L11" s="111"/>
    </row>
    <row r="12" spans="1:12" ht="15.75">
      <c r="A12" s="350" t="s">
        <v>335</v>
      </c>
      <c r="B12" s="350"/>
      <c r="C12" s="350" t="s">
        <v>336</v>
      </c>
      <c r="D12" s="350"/>
      <c r="E12" s="350" t="s">
        <v>337</v>
      </c>
      <c r="F12" s="350"/>
      <c r="G12" s="350"/>
      <c r="H12" s="350"/>
      <c r="I12" s="350"/>
      <c r="J12" s="366"/>
      <c r="K12" s="112" t="s">
        <v>338</v>
      </c>
      <c r="L12" s="113">
        <v>0.11</v>
      </c>
    </row>
    <row r="13" spans="1:12" ht="15.75">
      <c r="A13" s="354" t="s">
        <v>339</v>
      </c>
      <c r="B13" s="354"/>
      <c r="C13" s="355" t="s">
        <v>499</v>
      </c>
      <c r="D13" s="355"/>
      <c r="E13" s="350"/>
      <c r="F13" s="350"/>
      <c r="G13" s="350"/>
      <c r="H13" s="350"/>
      <c r="I13" s="350"/>
      <c r="J13" s="366"/>
      <c r="K13" s="114" t="s">
        <v>341</v>
      </c>
      <c r="L13" s="115">
        <f>I52</f>
        <v>473.82</v>
      </c>
    </row>
    <row r="14" spans="1:12" ht="15.75">
      <c r="A14" s="351" t="s">
        <v>342</v>
      </c>
      <c r="B14" s="351"/>
      <c r="C14" s="351"/>
      <c r="D14" s="351"/>
      <c r="E14" s="351"/>
      <c r="F14" s="351"/>
      <c r="G14" s="351"/>
      <c r="H14" s="351"/>
      <c r="I14" s="351"/>
      <c r="J14" s="366"/>
      <c r="K14" s="114" t="s">
        <v>343</v>
      </c>
      <c r="L14" s="115">
        <f>I104</f>
        <v>178.16</v>
      </c>
    </row>
    <row r="15" spans="1:12" ht="26.25">
      <c r="A15" s="63">
        <v>1</v>
      </c>
      <c r="B15" s="352" t="s">
        <v>344</v>
      </c>
      <c r="C15" s="352"/>
      <c r="D15" s="352"/>
      <c r="E15" s="352"/>
      <c r="F15" s="352"/>
      <c r="G15" s="352"/>
      <c r="H15" s="352"/>
      <c r="I15" s="69" t="s">
        <v>500</v>
      </c>
      <c r="J15" s="366"/>
      <c r="K15" s="114" t="s">
        <v>346</v>
      </c>
      <c r="L15" s="115">
        <f>I51</f>
        <v>0</v>
      </c>
    </row>
    <row r="16" spans="1:12" ht="15.75">
      <c r="A16" s="63">
        <v>2</v>
      </c>
      <c r="B16" s="352" t="s">
        <v>347</v>
      </c>
      <c r="C16" s="352"/>
      <c r="D16" s="352"/>
      <c r="E16" s="352"/>
      <c r="F16" s="352"/>
      <c r="G16" s="352"/>
      <c r="H16" s="352"/>
      <c r="I16" s="63" t="s">
        <v>501</v>
      </c>
      <c r="J16" s="366"/>
      <c r="K16" s="116" t="s">
        <v>349</v>
      </c>
      <c r="L16" s="117">
        <f>SUM(L13:L15)</f>
        <v>651.98</v>
      </c>
    </row>
    <row r="17" spans="1:12" ht="15.75">
      <c r="A17" s="63">
        <v>3</v>
      </c>
      <c r="B17" s="352" t="s">
        <v>350</v>
      </c>
      <c r="C17" s="352"/>
      <c r="D17" s="352"/>
      <c r="E17" s="352"/>
      <c r="F17" s="352"/>
      <c r="G17" s="352"/>
      <c r="H17" s="352"/>
      <c r="I17" s="64">
        <v>1553.96</v>
      </c>
      <c r="J17" s="366"/>
      <c r="K17" s="114" t="s">
        <v>351</v>
      </c>
      <c r="L17" s="118">
        <f>I139</f>
        <v>3938.9279999999999</v>
      </c>
    </row>
    <row r="18" spans="1:12" ht="38.25">
      <c r="A18" s="6">
        <v>4</v>
      </c>
      <c r="B18" s="356" t="s">
        <v>352</v>
      </c>
      <c r="C18" s="356"/>
      <c r="D18" s="356"/>
      <c r="E18" s="356"/>
      <c r="F18" s="356"/>
      <c r="G18" s="356"/>
      <c r="H18" s="356"/>
      <c r="I18" s="13" t="s">
        <v>353</v>
      </c>
      <c r="J18" s="366"/>
      <c r="K18" s="119" t="s">
        <v>354</v>
      </c>
      <c r="L18" s="120">
        <f>L17-L16</f>
        <v>3286.9479999999999</v>
      </c>
    </row>
    <row r="19" spans="1:12" ht="15.75">
      <c r="A19" s="63">
        <v>5</v>
      </c>
      <c r="B19" s="352" t="s">
        <v>355</v>
      </c>
      <c r="C19" s="352"/>
      <c r="D19" s="352"/>
      <c r="E19" s="352"/>
      <c r="F19" s="352"/>
      <c r="G19" s="352"/>
      <c r="H19" s="352"/>
      <c r="I19" s="102" t="s">
        <v>356</v>
      </c>
      <c r="J19" s="366"/>
      <c r="K19" s="121" t="s">
        <v>357</v>
      </c>
      <c r="L19" s="122">
        <f>L18*11%</f>
        <v>361.56428</v>
      </c>
    </row>
    <row r="20" spans="1:12" ht="15.75">
      <c r="A20" s="357"/>
      <c r="B20" s="357"/>
      <c r="C20" s="357"/>
      <c r="D20" s="357"/>
      <c r="E20" s="357"/>
      <c r="F20" s="357"/>
      <c r="G20" s="357"/>
      <c r="H20" s="357"/>
      <c r="I20" s="357"/>
      <c r="J20" s="366"/>
      <c r="K20" s="112" t="s">
        <v>358</v>
      </c>
      <c r="L20" s="123"/>
    </row>
    <row r="21" spans="1:12" ht="15.75" customHeight="1">
      <c r="A21" s="351" t="s">
        <v>359</v>
      </c>
      <c r="B21" s="351"/>
      <c r="C21" s="351"/>
      <c r="D21" s="351"/>
      <c r="E21" s="351"/>
      <c r="F21" s="351"/>
      <c r="G21" s="351"/>
      <c r="H21" s="351"/>
      <c r="I21" s="351"/>
      <c r="J21" s="366"/>
      <c r="K21" s="124" t="s">
        <v>360</v>
      </c>
      <c r="L21" s="125">
        <v>1.2E-2</v>
      </c>
    </row>
    <row r="22" spans="1:12" ht="15.75" customHeight="1">
      <c r="A22" s="95">
        <v>1</v>
      </c>
      <c r="B22" s="351" t="s">
        <v>361</v>
      </c>
      <c r="C22" s="351"/>
      <c r="D22" s="351"/>
      <c r="E22" s="351"/>
      <c r="F22" s="351"/>
      <c r="G22" s="351"/>
      <c r="H22" s="96" t="s">
        <v>362</v>
      </c>
      <c r="I22" s="96" t="s">
        <v>363</v>
      </c>
      <c r="J22" s="366"/>
      <c r="K22" s="126" t="s">
        <v>364</v>
      </c>
      <c r="L22" s="127">
        <v>4.8000000000000001E-2</v>
      </c>
    </row>
    <row r="23" spans="1:12" ht="15.75" customHeight="1">
      <c r="A23" s="95" t="s">
        <v>319</v>
      </c>
      <c r="B23" s="352" t="s">
        <v>365</v>
      </c>
      <c r="C23" s="352"/>
      <c r="D23" s="352"/>
      <c r="E23" s="352"/>
      <c r="F23" s="352"/>
      <c r="G23" s="352"/>
      <c r="H23" s="62"/>
      <c r="I23" s="128">
        <f>I17</f>
        <v>1553.96</v>
      </c>
      <c r="J23" s="366"/>
      <c r="K23" s="114" t="s">
        <v>366</v>
      </c>
      <c r="L23" s="118">
        <f>L17</f>
        <v>3938.9279999999999</v>
      </c>
    </row>
    <row r="24" spans="1:12" ht="15.75" customHeight="1">
      <c r="A24" s="95" t="s">
        <v>322</v>
      </c>
      <c r="B24" s="352" t="s">
        <v>367</v>
      </c>
      <c r="C24" s="352"/>
      <c r="D24" s="352"/>
      <c r="E24" s="352"/>
      <c r="F24" s="352"/>
      <c r="G24" s="352"/>
      <c r="H24" s="97"/>
      <c r="I24" s="128">
        <v>0</v>
      </c>
      <c r="J24" s="366"/>
      <c r="K24" s="121" t="s">
        <v>368</v>
      </c>
      <c r="L24" s="122">
        <f>L23*L21</f>
        <v>47.267136000000001</v>
      </c>
    </row>
    <row r="25" spans="1:12" ht="15.75" customHeight="1">
      <c r="A25" s="95" t="s">
        <v>326</v>
      </c>
      <c r="B25" s="352" t="s">
        <v>369</v>
      </c>
      <c r="C25" s="352"/>
      <c r="D25" s="352"/>
      <c r="E25" s="352"/>
      <c r="F25" s="352"/>
      <c r="G25" s="352"/>
      <c r="H25" s="97"/>
      <c r="I25" s="128">
        <v>0</v>
      </c>
      <c r="J25" s="366"/>
      <c r="K25" s="112" t="s">
        <v>370</v>
      </c>
      <c r="L25" s="113">
        <v>0.01</v>
      </c>
    </row>
    <row r="26" spans="1:12" ht="15.75" customHeight="1">
      <c r="A26" s="95" t="s">
        <v>330</v>
      </c>
      <c r="B26" s="352" t="s">
        <v>371</v>
      </c>
      <c r="C26" s="352"/>
      <c r="D26" s="352"/>
      <c r="E26" s="352"/>
      <c r="F26" s="352"/>
      <c r="G26" s="352"/>
      <c r="H26" s="97"/>
      <c r="I26" s="128">
        <v>0</v>
      </c>
      <c r="J26" s="366"/>
      <c r="K26" s="119" t="s">
        <v>351</v>
      </c>
      <c r="L26" s="120">
        <f>L17</f>
        <v>3938.9279999999999</v>
      </c>
    </row>
    <row r="27" spans="1:12" ht="15.75" customHeight="1">
      <c r="A27" s="95" t="s">
        <v>372</v>
      </c>
      <c r="B27" s="352" t="s">
        <v>373</v>
      </c>
      <c r="C27" s="352"/>
      <c r="D27" s="352"/>
      <c r="E27" s="352"/>
      <c r="F27" s="352"/>
      <c r="G27" s="352"/>
      <c r="H27" s="97"/>
      <c r="I27" s="128">
        <v>0</v>
      </c>
      <c r="J27" s="366"/>
      <c r="K27" s="121" t="s">
        <v>357</v>
      </c>
      <c r="L27" s="122">
        <f>L26*L25</f>
        <v>39.389279999999999</v>
      </c>
    </row>
    <row r="28" spans="1:12" ht="15.75" customHeight="1">
      <c r="A28" s="95" t="s">
        <v>374</v>
      </c>
      <c r="B28" s="352" t="s">
        <v>375</v>
      </c>
      <c r="C28" s="352"/>
      <c r="D28" s="352"/>
      <c r="E28" s="352"/>
      <c r="F28" s="352"/>
      <c r="G28" s="352"/>
      <c r="H28" s="97"/>
      <c r="I28" s="128">
        <v>0</v>
      </c>
      <c r="J28" s="366"/>
      <c r="K28" s="112" t="s">
        <v>376</v>
      </c>
      <c r="L28" s="113">
        <f>H117</f>
        <v>2.6599999999999999E-2</v>
      </c>
    </row>
    <row r="29" spans="1:12" ht="15.75" customHeight="1">
      <c r="A29" s="351" t="s">
        <v>377</v>
      </c>
      <c r="B29" s="351"/>
      <c r="C29" s="351"/>
      <c r="D29" s="351"/>
      <c r="E29" s="351"/>
      <c r="F29" s="351"/>
      <c r="G29" s="351"/>
      <c r="H29" s="351"/>
      <c r="I29" s="129">
        <f>SUM(I23:I28)</f>
        <v>1553.96</v>
      </c>
      <c r="J29" s="130">
        <f>SUM(I23:I28)</f>
        <v>1553.96</v>
      </c>
      <c r="K29" s="119" t="s">
        <v>351</v>
      </c>
      <c r="L29" s="120">
        <f>L17</f>
        <v>3938.9279999999999</v>
      </c>
    </row>
    <row r="30" spans="1:12" ht="15.7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131"/>
      <c r="K30" s="121" t="s">
        <v>357</v>
      </c>
      <c r="L30" s="122">
        <f>L29*L28</f>
        <v>104.77548479999999</v>
      </c>
    </row>
    <row r="31" spans="1:12" ht="15.75" customHeight="1">
      <c r="A31" s="351" t="s">
        <v>378</v>
      </c>
      <c r="B31" s="351"/>
      <c r="C31" s="351"/>
      <c r="D31" s="351"/>
      <c r="E31" s="351"/>
      <c r="F31" s="351"/>
      <c r="G31" s="351"/>
      <c r="H31" s="351"/>
      <c r="I31" s="351"/>
      <c r="J31" s="131"/>
      <c r="K31" s="112" t="s">
        <v>379</v>
      </c>
      <c r="L31" s="113">
        <f>H116</f>
        <v>5.7999999999999996E-3</v>
      </c>
    </row>
    <row r="32" spans="1:12" ht="15.75" customHeight="1">
      <c r="A32" s="351" t="s">
        <v>380</v>
      </c>
      <c r="B32" s="351"/>
      <c r="C32" s="351"/>
      <c r="D32" s="351"/>
      <c r="E32" s="351"/>
      <c r="F32" s="351"/>
      <c r="G32" s="351"/>
      <c r="H32" s="96" t="s">
        <v>362</v>
      </c>
      <c r="I32" s="96" t="s">
        <v>363</v>
      </c>
      <c r="J32" s="132"/>
      <c r="K32" s="119" t="s">
        <v>351</v>
      </c>
      <c r="L32" s="120">
        <f>L17</f>
        <v>3938.9279999999999</v>
      </c>
    </row>
    <row r="33" spans="1:12" ht="15.75" customHeight="1">
      <c r="A33" s="95" t="s">
        <v>319</v>
      </c>
      <c r="B33" s="352" t="s">
        <v>381</v>
      </c>
      <c r="C33" s="352"/>
      <c r="D33" s="352"/>
      <c r="E33" s="352"/>
      <c r="F33" s="352"/>
      <c r="G33" s="352"/>
      <c r="H33" s="97">
        <f>ROUND(1/12,4)</f>
        <v>8.3299999999999999E-2</v>
      </c>
      <c r="I33" s="133">
        <f>ROUND(I29*H33,2)</f>
        <v>129.44</v>
      </c>
      <c r="J33" s="130">
        <f>I33+(I33*$H$48)</f>
        <v>174.48511999999999</v>
      </c>
      <c r="K33" s="121" t="s">
        <v>357</v>
      </c>
      <c r="L33" s="122">
        <f>L32*L31</f>
        <v>22.845782399999997</v>
      </c>
    </row>
    <row r="34" spans="1:12" ht="15.75" customHeight="1">
      <c r="A34" s="95" t="s">
        <v>322</v>
      </c>
      <c r="B34" s="352" t="s">
        <v>382</v>
      </c>
      <c r="C34" s="352"/>
      <c r="D34" s="352"/>
      <c r="E34" s="352"/>
      <c r="F34" s="352"/>
      <c r="G34" s="352"/>
      <c r="H34" s="97">
        <v>0.121</v>
      </c>
      <c r="I34" s="133">
        <f>ROUND(I29*H34,2)</f>
        <v>188.03</v>
      </c>
      <c r="J34" s="130">
        <f>I34+(I34*$H$48)</f>
        <v>253.46444000000002</v>
      </c>
      <c r="K34" s="112" t="s">
        <v>383</v>
      </c>
      <c r="L34" s="113">
        <f>H118</f>
        <v>0.05</v>
      </c>
    </row>
    <row r="35" spans="1:12" ht="15.75" customHeight="1">
      <c r="A35" s="351" t="s">
        <v>384</v>
      </c>
      <c r="B35" s="351"/>
      <c r="C35" s="351"/>
      <c r="D35" s="351"/>
      <c r="E35" s="351"/>
      <c r="F35" s="351"/>
      <c r="G35" s="351"/>
      <c r="H35" s="98">
        <f>SUM(H33:H34)</f>
        <v>0.20430000000000001</v>
      </c>
      <c r="I35" s="129">
        <f>SUM(I33:I34)</f>
        <v>317.47000000000003</v>
      </c>
      <c r="J35" s="134"/>
      <c r="K35" s="119" t="s">
        <v>351</v>
      </c>
      <c r="L35" s="120">
        <f>L17</f>
        <v>3938.9279999999999</v>
      </c>
    </row>
    <row r="36" spans="1:12" ht="15.75" customHeight="1">
      <c r="A36" s="369" t="s">
        <v>385</v>
      </c>
      <c r="B36" s="369"/>
      <c r="C36" s="369"/>
      <c r="D36" s="369"/>
      <c r="E36" s="369"/>
      <c r="F36" s="369"/>
      <c r="G36" s="358" t="s">
        <v>386</v>
      </c>
      <c r="H36" s="358"/>
      <c r="I36" s="135">
        <f>I29</f>
        <v>1553.96</v>
      </c>
      <c r="J36" s="136"/>
      <c r="K36" s="121" t="s">
        <v>357</v>
      </c>
      <c r="L36" s="122">
        <f>L35*L34</f>
        <v>196.94640000000001</v>
      </c>
    </row>
    <row r="37" spans="1:12" ht="15.75" customHeight="1">
      <c r="A37" s="369"/>
      <c r="B37" s="369"/>
      <c r="C37" s="369"/>
      <c r="D37" s="369"/>
      <c r="E37" s="369"/>
      <c r="F37" s="369"/>
      <c r="G37" s="358" t="s">
        <v>387</v>
      </c>
      <c r="H37" s="358"/>
      <c r="I37" s="135">
        <f>I35</f>
        <v>317.47000000000003</v>
      </c>
      <c r="J37" s="137"/>
      <c r="K37" s="138" t="s">
        <v>388</v>
      </c>
      <c r="L37" s="139">
        <f>L19+L24+L27+L30+L33+L36</f>
        <v>772.78836319999994</v>
      </c>
    </row>
    <row r="38" spans="1:12" ht="15.75" customHeight="1">
      <c r="A38" s="369"/>
      <c r="B38" s="369"/>
      <c r="C38" s="369"/>
      <c r="D38" s="369"/>
      <c r="E38" s="369"/>
      <c r="F38" s="369"/>
      <c r="G38" s="359" t="s">
        <v>389</v>
      </c>
      <c r="H38" s="359"/>
      <c r="I38" s="140">
        <f>SUM(I36:I37)</f>
        <v>1871.43</v>
      </c>
      <c r="J38" s="136"/>
      <c r="K38" s="141"/>
      <c r="L38" s="141"/>
    </row>
    <row r="39" spans="1:12" ht="15.75" customHeight="1">
      <c r="A39" s="351" t="s">
        <v>390</v>
      </c>
      <c r="B39" s="351"/>
      <c r="C39" s="351"/>
      <c r="D39" s="351"/>
      <c r="E39" s="351"/>
      <c r="F39" s="351"/>
      <c r="G39" s="351"/>
      <c r="H39" s="96" t="s">
        <v>362</v>
      </c>
      <c r="I39" s="96" t="s">
        <v>363</v>
      </c>
      <c r="J39" s="136"/>
      <c r="K39" s="142" t="s">
        <v>391</v>
      </c>
      <c r="L39" s="143"/>
    </row>
    <row r="40" spans="1:12" ht="15.75" customHeight="1">
      <c r="A40" s="95" t="s">
        <v>319</v>
      </c>
      <c r="B40" s="352" t="s">
        <v>392</v>
      </c>
      <c r="C40" s="352"/>
      <c r="D40" s="352"/>
      <c r="E40" s="352"/>
      <c r="F40" s="352"/>
      <c r="G40" s="352"/>
      <c r="H40" s="97">
        <v>0.2</v>
      </c>
      <c r="I40" s="133">
        <f t="shared" ref="I40:I47" si="0">ROUND($I$38*H40,2)</f>
        <v>374.29</v>
      </c>
      <c r="J40" s="144" t="s">
        <v>393</v>
      </c>
      <c r="K40" s="145" t="s">
        <v>394</v>
      </c>
      <c r="L40" s="146"/>
    </row>
    <row r="41" spans="1:12" ht="15.75" customHeight="1">
      <c r="A41" s="95" t="s">
        <v>322</v>
      </c>
      <c r="B41" s="352" t="s">
        <v>395</v>
      </c>
      <c r="C41" s="352"/>
      <c r="D41" s="352"/>
      <c r="E41" s="352"/>
      <c r="F41" s="352"/>
      <c r="G41" s="352"/>
      <c r="H41" s="97">
        <v>2.5000000000000001E-2</v>
      </c>
      <c r="I41" s="133">
        <f t="shared" si="0"/>
        <v>46.79</v>
      </c>
      <c r="J41" s="130">
        <f t="shared" ref="J41:J47" si="1">$I$29*H41</f>
        <v>38.848999999999997</v>
      </c>
      <c r="K41" s="147" t="s">
        <v>394</v>
      </c>
      <c r="L41" s="148">
        <f>L8+L37</f>
        <v>3624.0624032000001</v>
      </c>
    </row>
    <row r="42" spans="1:12" ht="15.75" customHeight="1">
      <c r="A42" s="95" t="s">
        <v>326</v>
      </c>
      <c r="B42" s="352" t="s">
        <v>396</v>
      </c>
      <c r="C42" s="352"/>
      <c r="D42" s="352"/>
      <c r="E42" s="352"/>
      <c r="F42" s="352"/>
      <c r="G42" s="352"/>
      <c r="H42" s="402">
        <v>0.01</v>
      </c>
      <c r="I42" s="133">
        <f t="shared" si="0"/>
        <v>18.71</v>
      </c>
      <c r="J42" s="144" t="s">
        <v>393</v>
      </c>
      <c r="K42" s="109"/>
      <c r="L42" s="149"/>
    </row>
    <row r="43" spans="1:12" ht="15.75" customHeight="1">
      <c r="A43" s="95" t="s">
        <v>330</v>
      </c>
      <c r="B43" s="352" t="s">
        <v>397</v>
      </c>
      <c r="C43" s="352"/>
      <c r="D43" s="352"/>
      <c r="E43" s="352"/>
      <c r="F43" s="352"/>
      <c r="G43" s="352"/>
      <c r="H43" s="97">
        <v>1.4999999999999999E-2</v>
      </c>
      <c r="I43" s="133">
        <f t="shared" si="0"/>
        <v>28.07</v>
      </c>
      <c r="J43" s="130">
        <f t="shared" si="1"/>
        <v>23.3094</v>
      </c>
      <c r="K43" s="109"/>
      <c r="L43" s="149"/>
    </row>
    <row r="44" spans="1:12" ht="15.75" customHeight="1">
      <c r="A44" s="95" t="s">
        <v>372</v>
      </c>
      <c r="B44" s="352" t="s">
        <v>398</v>
      </c>
      <c r="C44" s="352"/>
      <c r="D44" s="352"/>
      <c r="E44" s="352"/>
      <c r="F44" s="352"/>
      <c r="G44" s="352"/>
      <c r="H44" s="97">
        <v>0.01</v>
      </c>
      <c r="I44" s="133">
        <f t="shared" si="0"/>
        <v>18.71</v>
      </c>
      <c r="J44" s="130">
        <f t="shared" si="1"/>
        <v>15.5396</v>
      </c>
      <c r="K44" s="109"/>
      <c r="L44" s="149"/>
    </row>
    <row r="45" spans="1:12" ht="15.75" customHeight="1">
      <c r="A45" s="95" t="s">
        <v>374</v>
      </c>
      <c r="B45" s="352" t="s">
        <v>399</v>
      </c>
      <c r="C45" s="352"/>
      <c r="D45" s="352"/>
      <c r="E45" s="352"/>
      <c r="F45" s="352"/>
      <c r="G45" s="352"/>
      <c r="H45" s="97">
        <v>6.0000000000000001E-3</v>
      </c>
      <c r="I45" s="133">
        <f t="shared" si="0"/>
        <v>11.23</v>
      </c>
      <c r="J45" s="130">
        <f t="shared" si="1"/>
        <v>9.32376</v>
      </c>
      <c r="K45" s="109"/>
      <c r="L45" s="149"/>
    </row>
    <row r="46" spans="1:12" ht="15.75" customHeight="1">
      <c r="A46" s="95" t="s">
        <v>400</v>
      </c>
      <c r="B46" s="352" t="s">
        <v>401</v>
      </c>
      <c r="C46" s="352"/>
      <c r="D46" s="352"/>
      <c r="E46" s="352"/>
      <c r="F46" s="352"/>
      <c r="G46" s="352"/>
      <c r="H46" s="97">
        <v>2E-3</v>
      </c>
      <c r="I46" s="133">
        <f t="shared" si="0"/>
        <v>3.74</v>
      </c>
      <c r="J46" s="130">
        <f t="shared" si="1"/>
        <v>3.10792</v>
      </c>
      <c r="K46" s="109"/>
      <c r="L46" s="149"/>
    </row>
    <row r="47" spans="1:12" ht="15.75" customHeight="1">
      <c r="A47" s="95" t="s">
        <v>402</v>
      </c>
      <c r="B47" s="352" t="s">
        <v>403</v>
      </c>
      <c r="C47" s="352"/>
      <c r="D47" s="352"/>
      <c r="E47" s="352"/>
      <c r="F47" s="352"/>
      <c r="G47" s="352"/>
      <c r="H47" s="97">
        <v>0.08</v>
      </c>
      <c r="I47" s="133">
        <f t="shared" si="0"/>
        <v>149.71</v>
      </c>
      <c r="J47" s="130">
        <f t="shared" si="1"/>
        <v>124.3168</v>
      </c>
      <c r="K47" s="360" t="s">
        <v>404</v>
      </c>
      <c r="L47" s="360"/>
    </row>
    <row r="48" spans="1:12" ht="15.75" customHeight="1">
      <c r="A48" s="351" t="s">
        <v>405</v>
      </c>
      <c r="B48" s="351"/>
      <c r="C48" s="351"/>
      <c r="D48" s="351"/>
      <c r="E48" s="351"/>
      <c r="F48" s="351"/>
      <c r="G48" s="351"/>
      <c r="H48" s="98">
        <f>SUM(H40:H47)</f>
        <v>0.34800000000000003</v>
      </c>
      <c r="I48" s="129">
        <f>SUM(I40:I47)</f>
        <v>651.25</v>
      </c>
      <c r="J48" s="137"/>
      <c r="K48" s="361" t="s">
        <v>406</v>
      </c>
      <c r="L48" s="361"/>
    </row>
    <row r="49" spans="1:12" ht="15.75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137"/>
      <c r="K49" s="150" t="s">
        <v>407</v>
      </c>
      <c r="L49" s="151">
        <v>1</v>
      </c>
    </row>
    <row r="50" spans="1:12" ht="15.75" customHeight="1">
      <c r="A50" s="351" t="s">
        <v>408</v>
      </c>
      <c r="B50" s="351"/>
      <c r="C50" s="351"/>
      <c r="D50" s="351"/>
      <c r="E50" s="351"/>
      <c r="F50" s="351"/>
      <c r="G50" s="351"/>
      <c r="H50" s="98"/>
      <c r="I50" s="96" t="s">
        <v>363</v>
      </c>
      <c r="J50" s="137"/>
      <c r="K50" s="367" t="s">
        <v>409</v>
      </c>
      <c r="L50" s="368">
        <f>L41</f>
        <v>3624.0624032000001</v>
      </c>
    </row>
    <row r="51" spans="1:12" ht="15.75" customHeight="1">
      <c r="A51" s="95" t="s">
        <v>319</v>
      </c>
      <c r="B51" s="357" t="s">
        <v>410</v>
      </c>
      <c r="C51" s="357"/>
      <c r="D51" s="357"/>
      <c r="E51" s="357"/>
      <c r="F51" s="357"/>
      <c r="G51" s="357"/>
      <c r="H51" s="99" t="s">
        <v>303</v>
      </c>
      <c r="I51" s="128">
        <v>0</v>
      </c>
      <c r="J51" s="130">
        <f t="shared" ref="J51:J54" si="2">I51</f>
        <v>0</v>
      </c>
      <c r="K51" s="367"/>
      <c r="L51" s="368"/>
    </row>
    <row r="52" spans="1:12" ht="15.75" customHeight="1">
      <c r="A52" s="95" t="s">
        <v>322</v>
      </c>
      <c r="B52" s="357" t="s">
        <v>411</v>
      </c>
      <c r="C52" s="357"/>
      <c r="D52" s="357"/>
      <c r="E52" s="357"/>
      <c r="F52" s="357"/>
      <c r="G52" s="357"/>
      <c r="H52" s="63" t="s">
        <v>303</v>
      </c>
      <c r="I52" s="128">
        <v>473.82</v>
      </c>
      <c r="J52" s="130">
        <f t="shared" si="2"/>
        <v>473.82</v>
      </c>
      <c r="K52" s="367"/>
      <c r="L52" s="368"/>
    </row>
    <row r="53" spans="1:12" ht="15.75" customHeight="1">
      <c r="A53" s="95" t="s">
        <v>326</v>
      </c>
      <c r="B53" s="357" t="s">
        <v>412</v>
      </c>
      <c r="C53" s="357"/>
      <c r="D53" s="357"/>
      <c r="E53" s="357"/>
      <c r="F53" s="357"/>
      <c r="G53" s="357"/>
      <c r="H53" s="63" t="s">
        <v>303</v>
      </c>
      <c r="I53" s="128">
        <f>(52.15+78.22)*0.4</f>
        <v>52.148000000000003</v>
      </c>
      <c r="J53" s="130">
        <f t="shared" si="2"/>
        <v>52.148000000000003</v>
      </c>
      <c r="K53" s="153" t="s">
        <v>413</v>
      </c>
      <c r="L53" s="152">
        <f>I139</f>
        <v>3938.9279999999999</v>
      </c>
    </row>
    <row r="54" spans="1:12" ht="15.75" customHeight="1">
      <c r="A54" s="95" t="s">
        <v>330</v>
      </c>
      <c r="B54" s="357" t="s">
        <v>414</v>
      </c>
      <c r="C54" s="357"/>
      <c r="D54" s="357"/>
      <c r="E54" s="357"/>
      <c r="F54" s="357"/>
      <c r="G54" s="357"/>
      <c r="H54" s="63" t="s">
        <v>303</v>
      </c>
      <c r="I54" s="128">
        <f>ROUND((I23*26)*0.002/12,2)</f>
        <v>6.73</v>
      </c>
      <c r="J54" s="130">
        <f t="shared" si="2"/>
        <v>6.73</v>
      </c>
      <c r="K54" s="154" t="s">
        <v>415</v>
      </c>
      <c r="L54" s="155">
        <f>L41</f>
        <v>3624.0624032000001</v>
      </c>
    </row>
    <row r="55" spans="1:12" ht="15.75" customHeight="1">
      <c r="A55" s="351" t="s">
        <v>416</v>
      </c>
      <c r="B55" s="351"/>
      <c r="C55" s="351"/>
      <c r="D55" s="351"/>
      <c r="E55" s="351"/>
      <c r="F55" s="351"/>
      <c r="G55" s="351"/>
      <c r="H55" s="351"/>
      <c r="I55" s="129">
        <f>SUM(I51:I54)</f>
        <v>532.69799999999998</v>
      </c>
      <c r="J55" s="134"/>
      <c r="K55" s="156" t="s">
        <v>417</v>
      </c>
      <c r="L55" s="157">
        <f>L53-L54</f>
        <v>314.86559679999982</v>
      </c>
    </row>
    <row r="56" spans="1:12" ht="15.75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134"/>
      <c r="K56" s="158" t="s">
        <v>418</v>
      </c>
      <c r="L56" s="159">
        <f>SUM(I68:I71,I96,I104,I113)</f>
        <v>383.34000000000003</v>
      </c>
    </row>
    <row r="57" spans="1:12" ht="15.75" customHeight="1">
      <c r="A57" s="351" t="s">
        <v>419</v>
      </c>
      <c r="B57" s="351"/>
      <c r="C57" s="351"/>
      <c r="D57" s="351"/>
      <c r="E57" s="351"/>
      <c r="F57" s="351"/>
      <c r="G57" s="351"/>
      <c r="H57" s="351"/>
      <c r="I57" s="351"/>
      <c r="J57" s="134"/>
      <c r="K57" s="158" t="s">
        <v>420</v>
      </c>
      <c r="L57" s="160">
        <f>L55-L56</f>
        <v>-68.474403200000211</v>
      </c>
    </row>
    <row r="58" spans="1:12" ht="15.75" customHeight="1">
      <c r="A58" s="351" t="s">
        <v>421</v>
      </c>
      <c r="B58" s="351"/>
      <c r="C58" s="351"/>
      <c r="D58" s="351"/>
      <c r="E58" s="351"/>
      <c r="F58" s="351"/>
      <c r="G58" s="351"/>
      <c r="H58" s="351"/>
      <c r="I58" s="96" t="s">
        <v>363</v>
      </c>
      <c r="J58" s="134"/>
      <c r="K58" s="161" t="s">
        <v>422</v>
      </c>
      <c r="L58" s="162">
        <f>ROUND(L57*L49,2)</f>
        <v>-68.47</v>
      </c>
    </row>
    <row r="59" spans="1:12" ht="15.75" customHeight="1">
      <c r="A59" s="95" t="s">
        <v>215</v>
      </c>
      <c r="B59" s="352" t="s">
        <v>423</v>
      </c>
      <c r="C59" s="352"/>
      <c r="D59" s="352"/>
      <c r="E59" s="352"/>
      <c r="F59" s="352"/>
      <c r="G59" s="352"/>
      <c r="H59" s="352"/>
      <c r="I59" s="133">
        <f>I35</f>
        <v>317.47000000000003</v>
      </c>
      <c r="J59" s="134"/>
      <c r="K59" s="161" t="s">
        <v>424</v>
      </c>
      <c r="L59" s="162">
        <f>ROUND((L57*12)*L49,2)</f>
        <v>-821.69</v>
      </c>
    </row>
    <row r="60" spans="1:12" ht="15.75" customHeight="1">
      <c r="A60" s="95" t="s">
        <v>245</v>
      </c>
      <c r="B60" s="352" t="s">
        <v>425</v>
      </c>
      <c r="C60" s="352"/>
      <c r="D60" s="352"/>
      <c r="E60" s="352"/>
      <c r="F60" s="352"/>
      <c r="G60" s="352"/>
      <c r="H60" s="352"/>
      <c r="I60" s="133">
        <f>I48</f>
        <v>651.25</v>
      </c>
      <c r="J60" s="134"/>
      <c r="K60" s="372" t="s">
        <v>426</v>
      </c>
      <c r="L60" s="372"/>
    </row>
    <row r="61" spans="1:12" ht="15.75" customHeight="1">
      <c r="A61" s="95" t="s">
        <v>257</v>
      </c>
      <c r="B61" s="352" t="s">
        <v>427</v>
      </c>
      <c r="C61" s="352"/>
      <c r="D61" s="352"/>
      <c r="E61" s="352"/>
      <c r="F61" s="352"/>
      <c r="G61" s="352"/>
      <c r="H61" s="352"/>
      <c r="I61" s="133">
        <f>I55</f>
        <v>532.69799999999998</v>
      </c>
      <c r="J61" s="134"/>
      <c r="K61" s="372"/>
      <c r="L61" s="372"/>
    </row>
    <row r="62" spans="1:12" ht="15.75" customHeight="1">
      <c r="A62" s="351" t="s">
        <v>428</v>
      </c>
      <c r="B62" s="351"/>
      <c r="C62" s="351"/>
      <c r="D62" s="351"/>
      <c r="E62" s="351"/>
      <c r="F62" s="351"/>
      <c r="G62" s="351"/>
      <c r="H62" s="351"/>
      <c r="I62" s="129">
        <f>SUM(I59:I61)</f>
        <v>1501.4180000000001</v>
      </c>
      <c r="J62" s="134"/>
      <c r="K62" s="372"/>
      <c r="L62" s="372"/>
    </row>
    <row r="63" spans="1:12" ht="15.75" customHeight="1">
      <c r="A63" s="370" t="s">
        <v>429</v>
      </c>
      <c r="B63" s="370"/>
      <c r="C63" s="370"/>
      <c r="D63" s="370"/>
      <c r="E63" s="370"/>
      <c r="F63" s="370"/>
      <c r="G63" s="358" t="s">
        <v>386</v>
      </c>
      <c r="H63" s="358"/>
      <c r="I63" s="135">
        <f>I29</f>
        <v>1553.96</v>
      </c>
      <c r="J63" s="134"/>
      <c r="K63" s="372"/>
      <c r="L63" s="372"/>
    </row>
    <row r="64" spans="1:12" ht="15.75" customHeight="1">
      <c r="A64" s="370"/>
      <c r="B64" s="370"/>
      <c r="C64" s="370"/>
      <c r="D64" s="370"/>
      <c r="E64" s="370"/>
      <c r="F64" s="370"/>
      <c r="G64" s="358" t="s">
        <v>430</v>
      </c>
      <c r="H64" s="358"/>
      <c r="I64" s="135">
        <f>I62</f>
        <v>1501.4180000000001</v>
      </c>
      <c r="J64" s="134"/>
      <c r="K64" s="372"/>
      <c r="L64" s="372"/>
    </row>
    <row r="65" spans="1:12" ht="15.75" customHeight="1">
      <c r="A65" s="370"/>
      <c r="B65" s="370"/>
      <c r="C65" s="370"/>
      <c r="D65" s="370"/>
      <c r="E65" s="370"/>
      <c r="F65" s="370"/>
      <c r="G65" s="359" t="s">
        <v>389</v>
      </c>
      <c r="H65" s="359"/>
      <c r="I65" s="140">
        <f>SUM(I63:I64)</f>
        <v>3055.3780000000002</v>
      </c>
      <c r="J65" s="134"/>
      <c r="K65" s="372"/>
      <c r="L65" s="372"/>
    </row>
    <row r="66" spans="1:12" ht="27.75" customHeight="1">
      <c r="A66" s="351" t="s">
        <v>431</v>
      </c>
      <c r="B66" s="351"/>
      <c r="C66" s="351"/>
      <c r="D66" s="351"/>
      <c r="E66" s="351"/>
      <c r="F66" s="351"/>
      <c r="G66" s="351"/>
      <c r="H66" s="351"/>
      <c r="I66" s="351"/>
      <c r="J66" s="134"/>
      <c r="K66" s="372"/>
      <c r="L66" s="372"/>
    </row>
    <row r="67" spans="1:12" ht="15.75" customHeight="1">
      <c r="A67" s="95">
        <v>3</v>
      </c>
      <c r="B67" s="351" t="s">
        <v>432</v>
      </c>
      <c r="C67" s="351"/>
      <c r="D67" s="351"/>
      <c r="E67" s="351"/>
      <c r="F67" s="351"/>
      <c r="G67" s="351"/>
      <c r="H67" s="96" t="s">
        <v>362</v>
      </c>
      <c r="I67" s="96" t="s">
        <v>363</v>
      </c>
      <c r="J67" s="134"/>
      <c r="K67" s="372"/>
      <c r="L67" s="372"/>
    </row>
    <row r="68" spans="1:12" ht="15.75" customHeight="1">
      <c r="A68" s="95" t="s">
        <v>319</v>
      </c>
      <c r="B68" s="352" t="s">
        <v>433</v>
      </c>
      <c r="C68" s="352"/>
      <c r="D68" s="352"/>
      <c r="E68" s="352"/>
      <c r="F68" s="352"/>
      <c r="G68" s="352"/>
      <c r="H68" s="97">
        <f>ROUND(((1/12)*5%),4)</f>
        <v>4.1999999999999997E-3</v>
      </c>
      <c r="I68" s="133">
        <f>ROUND(H68*$I$65,2)</f>
        <v>12.83</v>
      </c>
      <c r="J68" s="134"/>
      <c r="K68" s="372"/>
      <c r="L68" s="372"/>
    </row>
    <row r="69" spans="1:12" ht="15.75" customHeight="1">
      <c r="A69" s="95" t="s">
        <v>322</v>
      </c>
      <c r="B69" s="352" t="s">
        <v>434</v>
      </c>
      <c r="C69" s="352"/>
      <c r="D69" s="352"/>
      <c r="E69" s="352"/>
      <c r="F69" s="352"/>
      <c r="G69" s="352"/>
      <c r="H69" s="97">
        <f>TRUNC(H68*H47,4)</f>
        <v>2.9999999999999997E-4</v>
      </c>
      <c r="I69" s="133">
        <f>ROUND(H69*$I$65,2)</f>
        <v>0.92</v>
      </c>
      <c r="J69" s="134"/>
      <c r="K69" s="372"/>
      <c r="L69" s="372"/>
    </row>
    <row r="70" spans="1:12" ht="15.75" customHeight="1">
      <c r="A70" s="95" t="s">
        <v>326</v>
      </c>
      <c r="B70" s="352" t="s">
        <v>435</v>
      </c>
      <c r="C70" s="352"/>
      <c r="D70" s="352"/>
      <c r="E70" s="352"/>
      <c r="F70" s="352"/>
      <c r="G70" s="352"/>
      <c r="H70" s="97">
        <f>ROUND(((7/30)/12)*95%,4)</f>
        <v>1.8499999999999999E-2</v>
      </c>
      <c r="I70" s="133">
        <f>ROUND(H70*$I$65,2)</f>
        <v>56.52</v>
      </c>
      <c r="J70" s="134"/>
      <c r="K70" s="109"/>
      <c r="L70" s="109"/>
    </row>
    <row r="71" spans="1:12" ht="15.75" customHeight="1">
      <c r="A71" s="95" t="s">
        <v>330</v>
      </c>
      <c r="B71" s="363" t="s">
        <v>436</v>
      </c>
      <c r="C71" s="363"/>
      <c r="D71" s="363"/>
      <c r="E71" s="363"/>
      <c r="F71" s="363"/>
      <c r="G71" s="363"/>
      <c r="H71" s="97">
        <f>ROUND(H70*H48,4)</f>
        <v>6.4000000000000003E-3</v>
      </c>
      <c r="I71" s="133">
        <f>ROUND(H71*$I$65,2)</f>
        <v>19.55</v>
      </c>
      <c r="J71" s="134"/>
      <c r="K71" s="109"/>
      <c r="L71" s="109"/>
    </row>
    <row r="72" spans="1:12" ht="15.75" customHeight="1">
      <c r="A72" s="95" t="s">
        <v>372</v>
      </c>
      <c r="B72" s="352" t="s">
        <v>437</v>
      </c>
      <c r="C72" s="352"/>
      <c r="D72" s="352"/>
      <c r="E72" s="352"/>
      <c r="F72" s="352"/>
      <c r="G72" s="352"/>
      <c r="H72" s="97">
        <v>0.04</v>
      </c>
      <c r="I72" s="133">
        <f>ROUND(H72*$I$65,2)</f>
        <v>122.22</v>
      </c>
      <c r="J72" s="130">
        <f>I72</f>
        <v>122.22</v>
      </c>
      <c r="K72" s="109"/>
      <c r="L72" s="109"/>
    </row>
    <row r="73" spans="1:12" ht="15.75" customHeight="1">
      <c r="A73" s="351" t="s">
        <v>438</v>
      </c>
      <c r="B73" s="351"/>
      <c r="C73" s="351"/>
      <c r="D73" s="351"/>
      <c r="E73" s="351"/>
      <c r="F73" s="351"/>
      <c r="G73" s="351"/>
      <c r="H73" s="98">
        <f>SUM(H68:H72)</f>
        <v>6.9400000000000003E-2</v>
      </c>
      <c r="I73" s="129">
        <f>SUM(I68:I72)</f>
        <v>212.04000000000002</v>
      </c>
      <c r="J73" s="134"/>
      <c r="K73" s="179"/>
      <c r="L73" s="109"/>
    </row>
    <row r="74" spans="1:12" ht="15.75" customHeight="1">
      <c r="A74" s="371" t="s">
        <v>439</v>
      </c>
      <c r="B74" s="371"/>
      <c r="C74" s="371"/>
      <c r="D74" s="371"/>
      <c r="E74" s="371"/>
      <c r="F74" s="371"/>
      <c r="G74" s="358" t="s">
        <v>386</v>
      </c>
      <c r="H74" s="358"/>
      <c r="I74" s="135">
        <f>I29</f>
        <v>1553.96</v>
      </c>
      <c r="J74" s="134"/>
      <c r="K74" s="179"/>
      <c r="L74" s="109"/>
    </row>
    <row r="75" spans="1:12" ht="15.75" customHeight="1">
      <c r="A75" s="371"/>
      <c r="B75" s="371"/>
      <c r="C75" s="371"/>
      <c r="D75" s="371"/>
      <c r="E75" s="371"/>
      <c r="F75" s="371"/>
      <c r="G75" s="358" t="s">
        <v>430</v>
      </c>
      <c r="H75" s="358"/>
      <c r="I75" s="135">
        <f>I62</f>
        <v>1501.4180000000001</v>
      </c>
      <c r="J75" s="134"/>
      <c r="K75" s="179"/>
      <c r="L75" s="109"/>
    </row>
    <row r="76" spans="1:12" ht="15.75" customHeight="1">
      <c r="A76" s="371"/>
      <c r="B76" s="371"/>
      <c r="C76" s="371"/>
      <c r="D76" s="371"/>
      <c r="E76" s="371"/>
      <c r="F76" s="371"/>
      <c r="G76" s="358" t="s">
        <v>440</v>
      </c>
      <c r="H76" s="358"/>
      <c r="I76" s="135">
        <f>I73</f>
        <v>212.04000000000002</v>
      </c>
      <c r="J76" s="134"/>
      <c r="K76" s="179"/>
      <c r="L76" s="109"/>
    </row>
    <row r="77" spans="1:12" ht="15.75" customHeight="1">
      <c r="A77" s="371"/>
      <c r="B77" s="371"/>
      <c r="C77" s="371"/>
      <c r="D77" s="371"/>
      <c r="E77" s="371"/>
      <c r="F77" s="371"/>
      <c r="G77" s="359" t="s">
        <v>389</v>
      </c>
      <c r="H77" s="359"/>
      <c r="I77" s="140">
        <f>SUM(I74:I76)</f>
        <v>3267.4180000000001</v>
      </c>
      <c r="J77" s="134"/>
      <c r="K77" s="179"/>
      <c r="L77" s="109"/>
    </row>
    <row r="78" spans="1:12" ht="15.75" customHeight="1">
      <c r="A78" s="351" t="s">
        <v>441</v>
      </c>
      <c r="B78" s="351"/>
      <c r="C78" s="351"/>
      <c r="D78" s="351"/>
      <c r="E78" s="351"/>
      <c r="F78" s="351"/>
      <c r="G78" s="351"/>
      <c r="H78" s="351"/>
      <c r="I78" s="351"/>
      <c r="J78" s="131"/>
      <c r="K78" s="179"/>
      <c r="L78" s="109"/>
    </row>
    <row r="79" spans="1:12" ht="15.75" customHeight="1">
      <c r="A79" s="351" t="s">
        <v>442</v>
      </c>
      <c r="B79" s="351"/>
      <c r="C79" s="351"/>
      <c r="D79" s="351"/>
      <c r="E79" s="351"/>
      <c r="F79" s="351"/>
      <c r="G79" s="351"/>
      <c r="H79" s="96" t="s">
        <v>362</v>
      </c>
      <c r="I79" s="96" t="s">
        <v>363</v>
      </c>
      <c r="J79" s="134"/>
      <c r="K79" s="179"/>
      <c r="L79" s="180"/>
    </row>
    <row r="80" spans="1:12" ht="15.75" customHeight="1">
      <c r="A80" s="95" t="s">
        <v>319</v>
      </c>
      <c r="B80" s="352" t="s">
        <v>443</v>
      </c>
      <c r="C80" s="352"/>
      <c r="D80" s="352"/>
      <c r="E80" s="352"/>
      <c r="F80" s="352"/>
      <c r="G80" s="352"/>
      <c r="H80" s="97">
        <f>ROUND(((1+1/3)/12)/12,4)</f>
        <v>9.2999999999999992E-3</v>
      </c>
      <c r="I80" s="133">
        <f t="shared" ref="I80:I85" si="3">ROUND(H80*$I$77,2)</f>
        <v>30.39</v>
      </c>
      <c r="J80" s="134"/>
      <c r="K80" s="179"/>
      <c r="L80" s="109"/>
    </row>
    <row r="81" spans="1:12" ht="15.75" customHeight="1">
      <c r="A81" s="95" t="s">
        <v>322</v>
      </c>
      <c r="B81" s="352" t="s">
        <v>444</v>
      </c>
      <c r="C81" s="352"/>
      <c r="D81" s="352"/>
      <c r="E81" s="352"/>
      <c r="F81" s="352"/>
      <c r="G81" s="352"/>
      <c r="H81" s="97">
        <f>ROUND(2/30/12,4)</f>
        <v>5.5999999999999999E-3</v>
      </c>
      <c r="I81" s="133">
        <f t="shared" si="3"/>
        <v>18.3</v>
      </c>
      <c r="J81" s="134"/>
      <c r="K81" s="109"/>
      <c r="L81" s="109"/>
    </row>
    <row r="82" spans="1:12" ht="15.75" customHeight="1">
      <c r="A82" s="95" t="s">
        <v>326</v>
      </c>
      <c r="B82" s="352" t="s">
        <v>445</v>
      </c>
      <c r="C82" s="352"/>
      <c r="D82" s="352"/>
      <c r="E82" s="352"/>
      <c r="F82" s="352"/>
      <c r="G82" s="352"/>
      <c r="H82" s="97">
        <f>ROUND(((5/30)/12)*2%,4)</f>
        <v>2.9999999999999997E-4</v>
      </c>
      <c r="I82" s="133">
        <f t="shared" si="3"/>
        <v>0.98</v>
      </c>
      <c r="J82" s="134"/>
      <c r="K82" s="109"/>
      <c r="L82" s="109"/>
    </row>
    <row r="83" spans="1:12" ht="15.75" customHeight="1">
      <c r="A83" s="95" t="s">
        <v>330</v>
      </c>
      <c r="B83" s="352" t="s">
        <v>446</v>
      </c>
      <c r="C83" s="352"/>
      <c r="D83" s="352"/>
      <c r="E83" s="352"/>
      <c r="F83" s="352"/>
      <c r="G83" s="352"/>
      <c r="H83" s="97">
        <f>ROUND(((15/30)/12)*8%,4)</f>
        <v>3.3E-3</v>
      </c>
      <c r="I83" s="133">
        <f t="shared" si="3"/>
        <v>10.78</v>
      </c>
      <c r="J83" s="134"/>
      <c r="K83" s="109"/>
      <c r="L83" s="109"/>
    </row>
    <row r="84" spans="1:12" ht="15.75" customHeight="1">
      <c r="A84" s="95" t="s">
        <v>372</v>
      </c>
      <c r="B84" s="352" t="s">
        <v>447</v>
      </c>
      <c r="C84" s="352"/>
      <c r="D84" s="352"/>
      <c r="E84" s="352"/>
      <c r="F84" s="352"/>
      <c r="G84" s="352"/>
      <c r="H84" s="97">
        <f>ROUND(((1+1/3)/12*4/12)*2%,4)</f>
        <v>6.9999999999999999E-4</v>
      </c>
      <c r="I84" s="133">
        <f t="shared" si="3"/>
        <v>2.29</v>
      </c>
      <c r="J84" s="134"/>
      <c r="K84" s="109"/>
      <c r="L84" s="109"/>
    </row>
    <row r="85" spans="1:12" ht="15.75" customHeight="1">
      <c r="A85" s="95" t="s">
        <v>374</v>
      </c>
      <c r="B85" s="352" t="s">
        <v>448</v>
      </c>
      <c r="C85" s="352"/>
      <c r="D85" s="352"/>
      <c r="E85" s="352"/>
      <c r="F85" s="352"/>
      <c r="G85" s="352"/>
      <c r="H85" s="97">
        <v>0</v>
      </c>
      <c r="I85" s="133">
        <f t="shared" si="3"/>
        <v>0</v>
      </c>
      <c r="J85" s="134"/>
      <c r="K85" s="109"/>
      <c r="L85" s="109"/>
    </row>
    <row r="86" spans="1:12" ht="15.75" customHeight="1">
      <c r="A86" s="351" t="s">
        <v>449</v>
      </c>
      <c r="B86" s="351"/>
      <c r="C86" s="351"/>
      <c r="D86" s="351"/>
      <c r="E86" s="351"/>
      <c r="F86" s="351"/>
      <c r="G86" s="351"/>
      <c r="H86" s="98">
        <f>SUM(H80:H85)</f>
        <v>1.9199999999999998E-2</v>
      </c>
      <c r="I86" s="129">
        <f>SUM(I80:I85)</f>
        <v>62.739999999999995</v>
      </c>
      <c r="J86" s="134"/>
      <c r="K86" s="109"/>
      <c r="L86" s="181"/>
    </row>
    <row r="87" spans="1:12" ht="15.75" customHeight="1">
      <c r="A87" s="362"/>
      <c r="B87" s="362"/>
      <c r="C87" s="362"/>
      <c r="D87" s="362"/>
      <c r="E87" s="362"/>
      <c r="F87" s="362"/>
      <c r="G87" s="362"/>
      <c r="H87" s="362"/>
      <c r="I87" s="362"/>
      <c r="J87" s="134"/>
      <c r="K87" s="182"/>
      <c r="L87" s="109"/>
    </row>
    <row r="88" spans="1:12" ht="15.75" customHeight="1">
      <c r="A88" s="351" t="s">
        <v>450</v>
      </c>
      <c r="B88" s="351"/>
      <c r="C88" s="351"/>
      <c r="D88" s="351"/>
      <c r="E88" s="351"/>
      <c r="F88" s="351"/>
      <c r="G88" s="351"/>
      <c r="H88" s="96" t="s">
        <v>362</v>
      </c>
      <c r="I88" s="96" t="s">
        <v>363</v>
      </c>
      <c r="J88" s="134"/>
      <c r="K88" s="109"/>
      <c r="L88" s="109"/>
    </row>
    <row r="89" spans="1:12" ht="15.75" customHeight="1">
      <c r="A89" s="95" t="s">
        <v>319</v>
      </c>
      <c r="B89" s="352" t="s">
        <v>451</v>
      </c>
      <c r="C89" s="352"/>
      <c r="D89" s="352"/>
      <c r="E89" s="352"/>
      <c r="F89" s="352"/>
      <c r="G89" s="352"/>
      <c r="H89" s="97">
        <v>0</v>
      </c>
      <c r="I89" s="133">
        <f>I29*H89</f>
        <v>0</v>
      </c>
      <c r="J89" s="134"/>
      <c r="K89" s="109"/>
      <c r="L89" s="109"/>
    </row>
    <row r="90" spans="1:12" ht="15.75" customHeight="1">
      <c r="A90" s="351" t="s">
        <v>452</v>
      </c>
      <c r="B90" s="351"/>
      <c r="C90" s="351"/>
      <c r="D90" s="351"/>
      <c r="E90" s="351"/>
      <c r="F90" s="351"/>
      <c r="G90" s="351"/>
      <c r="H90" s="98">
        <f>H89</f>
        <v>0</v>
      </c>
      <c r="I90" s="129">
        <f>I89</f>
        <v>0</v>
      </c>
      <c r="J90" s="134"/>
      <c r="K90" s="183"/>
      <c r="L90" s="109"/>
    </row>
    <row r="91" spans="1:12" ht="15.75" customHeight="1">
      <c r="A91" s="362"/>
      <c r="B91" s="362"/>
      <c r="C91" s="362"/>
      <c r="D91" s="362"/>
      <c r="E91" s="362"/>
      <c r="F91" s="362"/>
      <c r="G91" s="362"/>
      <c r="H91" s="362"/>
      <c r="I91" s="362"/>
      <c r="J91" s="134"/>
      <c r="K91" s="109"/>
      <c r="L91" s="109"/>
    </row>
    <row r="92" spans="1:12" ht="15.75" customHeight="1">
      <c r="A92" s="351" t="s">
        <v>453</v>
      </c>
      <c r="B92" s="351"/>
      <c r="C92" s="351"/>
      <c r="D92" s="351"/>
      <c r="E92" s="351"/>
      <c r="F92" s="351"/>
      <c r="G92" s="351"/>
      <c r="H92" s="351"/>
      <c r="I92" s="351"/>
      <c r="J92" s="134"/>
      <c r="K92" s="109"/>
      <c r="L92" s="109"/>
    </row>
    <row r="93" spans="1:12" ht="15.75" customHeight="1">
      <c r="A93" s="351" t="s">
        <v>454</v>
      </c>
      <c r="B93" s="351"/>
      <c r="C93" s="351"/>
      <c r="D93" s="351"/>
      <c r="E93" s="351"/>
      <c r="F93" s="351"/>
      <c r="G93" s="351"/>
      <c r="H93" s="351"/>
      <c r="I93" s="96" t="s">
        <v>363</v>
      </c>
      <c r="J93" s="134"/>
      <c r="K93" s="109"/>
      <c r="L93" s="109"/>
    </row>
    <row r="94" spans="1:12" ht="15.75" customHeight="1">
      <c r="A94" s="95" t="s">
        <v>455</v>
      </c>
      <c r="B94" s="352" t="s">
        <v>456</v>
      </c>
      <c r="C94" s="352"/>
      <c r="D94" s="352"/>
      <c r="E94" s="352"/>
      <c r="F94" s="352"/>
      <c r="G94" s="352"/>
      <c r="H94" s="352"/>
      <c r="I94" s="133">
        <f>I86</f>
        <v>62.739999999999995</v>
      </c>
      <c r="J94" s="134"/>
      <c r="K94" s="109"/>
      <c r="L94" s="109"/>
    </row>
    <row r="95" spans="1:12" ht="15.75" customHeight="1">
      <c r="A95" s="95" t="s">
        <v>457</v>
      </c>
      <c r="B95" s="352" t="s">
        <v>458</v>
      </c>
      <c r="C95" s="352"/>
      <c r="D95" s="352"/>
      <c r="E95" s="352"/>
      <c r="F95" s="352"/>
      <c r="G95" s="352"/>
      <c r="H95" s="352"/>
      <c r="I95" s="133">
        <f>I90</f>
        <v>0</v>
      </c>
      <c r="J95" s="134"/>
      <c r="K95" s="109"/>
      <c r="L95" s="109"/>
    </row>
    <row r="96" spans="1:12" ht="15.75" customHeight="1">
      <c r="A96" s="351" t="s">
        <v>459</v>
      </c>
      <c r="B96" s="351"/>
      <c r="C96" s="351"/>
      <c r="D96" s="351"/>
      <c r="E96" s="351"/>
      <c r="F96" s="351"/>
      <c r="G96" s="351"/>
      <c r="H96" s="351"/>
      <c r="I96" s="129">
        <f>SUM(I94:I95)</f>
        <v>62.739999999999995</v>
      </c>
      <c r="J96" s="134"/>
      <c r="K96" s="109"/>
      <c r="L96" s="109"/>
    </row>
    <row r="97" spans="1:12" ht="15.75" customHeight="1">
      <c r="A97" s="362"/>
      <c r="B97" s="362"/>
      <c r="C97" s="362"/>
      <c r="D97" s="362"/>
      <c r="E97" s="362"/>
      <c r="F97" s="362"/>
      <c r="G97" s="362"/>
      <c r="H97" s="362"/>
      <c r="I97" s="362"/>
      <c r="J97" s="134"/>
      <c r="K97" s="109"/>
      <c r="L97" s="109"/>
    </row>
    <row r="98" spans="1:12" ht="15.75" customHeight="1">
      <c r="A98" s="351" t="s">
        <v>460</v>
      </c>
      <c r="B98" s="351"/>
      <c r="C98" s="351"/>
      <c r="D98" s="351"/>
      <c r="E98" s="351"/>
      <c r="F98" s="351"/>
      <c r="G98" s="351"/>
      <c r="H98" s="351"/>
      <c r="I98" s="351"/>
      <c r="J98" s="134"/>
      <c r="K98" s="109"/>
      <c r="L98" s="109"/>
    </row>
    <row r="99" spans="1:12" ht="15.75" customHeight="1">
      <c r="A99" s="96">
        <v>5</v>
      </c>
      <c r="B99" s="351" t="s">
        <v>461</v>
      </c>
      <c r="C99" s="351"/>
      <c r="D99" s="351"/>
      <c r="E99" s="351"/>
      <c r="F99" s="351"/>
      <c r="G99" s="351"/>
      <c r="H99" s="96"/>
      <c r="I99" s="96" t="s">
        <v>363</v>
      </c>
      <c r="J99" s="134"/>
      <c r="K99" s="109"/>
      <c r="L99" s="109"/>
    </row>
    <row r="100" spans="1:12" ht="15.75" customHeight="1">
      <c r="A100" s="163" t="s">
        <v>319</v>
      </c>
      <c r="B100" s="357" t="s">
        <v>462</v>
      </c>
      <c r="C100" s="357"/>
      <c r="D100" s="357"/>
      <c r="E100" s="357"/>
      <c r="F100" s="357"/>
      <c r="G100" s="357"/>
      <c r="H100" s="164" t="s">
        <v>303</v>
      </c>
      <c r="I100" s="403">
        <v>47.66</v>
      </c>
      <c r="J100" s="134"/>
      <c r="K100" s="109"/>
      <c r="L100" s="109"/>
    </row>
    <row r="101" spans="1:12" ht="15.75" customHeight="1">
      <c r="A101" s="163" t="s">
        <v>322</v>
      </c>
      <c r="B101" s="357" t="s">
        <v>463</v>
      </c>
      <c r="C101" s="357"/>
      <c r="D101" s="357"/>
      <c r="E101" s="357"/>
      <c r="F101" s="357"/>
      <c r="G101" s="357"/>
      <c r="H101" s="164" t="s">
        <v>303</v>
      </c>
      <c r="I101" s="403">
        <v>29.7</v>
      </c>
      <c r="J101" s="134"/>
      <c r="K101" s="109"/>
      <c r="L101" s="109"/>
    </row>
    <row r="102" spans="1:12" ht="15.75" customHeight="1">
      <c r="A102" s="163" t="s">
        <v>326</v>
      </c>
      <c r="B102" s="357" t="s">
        <v>464</v>
      </c>
      <c r="C102" s="357"/>
      <c r="D102" s="357"/>
      <c r="E102" s="357"/>
      <c r="F102" s="357"/>
      <c r="G102" s="357"/>
      <c r="H102" s="164" t="s">
        <v>303</v>
      </c>
      <c r="I102" s="403">
        <v>47.17</v>
      </c>
      <c r="J102" s="134"/>
      <c r="K102" s="109"/>
      <c r="L102" s="109"/>
    </row>
    <row r="103" spans="1:12" ht="15.75" customHeight="1">
      <c r="A103" s="163" t="s">
        <v>330</v>
      </c>
      <c r="B103" s="357" t="s">
        <v>465</v>
      </c>
      <c r="C103" s="357"/>
      <c r="D103" s="357"/>
      <c r="E103" s="357"/>
      <c r="F103" s="357"/>
      <c r="G103" s="357"/>
      <c r="H103" s="165" t="s">
        <v>303</v>
      </c>
      <c r="I103" s="403">
        <v>53.63</v>
      </c>
      <c r="J103" s="134"/>
      <c r="K103" s="109"/>
      <c r="L103" s="109"/>
    </row>
    <row r="104" spans="1:12" ht="15.75" customHeight="1">
      <c r="A104" s="351" t="s">
        <v>466</v>
      </c>
      <c r="B104" s="351"/>
      <c r="C104" s="351"/>
      <c r="D104" s="351"/>
      <c r="E104" s="351"/>
      <c r="F104" s="351"/>
      <c r="G104" s="351"/>
      <c r="H104" s="98" t="s">
        <v>303</v>
      </c>
      <c r="I104" s="129">
        <f>SUM(I100:I103)</f>
        <v>178.16</v>
      </c>
      <c r="J104" s="134"/>
      <c r="K104" s="109"/>
      <c r="L104" s="109"/>
    </row>
    <row r="105" spans="1:12" ht="15.75" customHeight="1">
      <c r="A105" s="371" t="s">
        <v>467</v>
      </c>
      <c r="B105" s="371"/>
      <c r="C105" s="371"/>
      <c r="D105" s="371"/>
      <c r="E105" s="371"/>
      <c r="F105" s="371"/>
      <c r="G105" s="358" t="s">
        <v>386</v>
      </c>
      <c r="H105" s="358"/>
      <c r="I105" s="135">
        <f>I29</f>
        <v>1553.96</v>
      </c>
      <c r="J105" s="134"/>
      <c r="K105" s="109"/>
      <c r="L105" s="109"/>
    </row>
    <row r="106" spans="1:12" ht="15.75" customHeight="1">
      <c r="A106" s="371"/>
      <c r="B106" s="371"/>
      <c r="C106" s="371"/>
      <c r="D106" s="371"/>
      <c r="E106" s="371"/>
      <c r="F106" s="371"/>
      <c r="G106" s="358" t="s">
        <v>430</v>
      </c>
      <c r="H106" s="358"/>
      <c r="I106" s="135">
        <f>I62</f>
        <v>1501.4180000000001</v>
      </c>
      <c r="J106" s="134"/>
      <c r="K106" s="109"/>
      <c r="L106" s="109"/>
    </row>
    <row r="107" spans="1:12" ht="15.75" customHeight="1">
      <c r="A107" s="371"/>
      <c r="B107" s="371"/>
      <c r="C107" s="371"/>
      <c r="D107" s="371"/>
      <c r="E107" s="371"/>
      <c r="F107" s="371"/>
      <c r="G107" s="358" t="s">
        <v>440</v>
      </c>
      <c r="H107" s="358"/>
      <c r="I107" s="135">
        <f>I73</f>
        <v>212.04000000000002</v>
      </c>
      <c r="J107" s="134"/>
      <c r="K107" s="109"/>
      <c r="L107" s="109"/>
    </row>
    <row r="108" spans="1:12" ht="15.75" customHeight="1">
      <c r="A108" s="371"/>
      <c r="B108" s="371"/>
      <c r="C108" s="371"/>
      <c r="D108" s="371"/>
      <c r="E108" s="371"/>
      <c r="F108" s="371"/>
      <c r="G108" s="358" t="s">
        <v>468</v>
      </c>
      <c r="H108" s="358"/>
      <c r="I108" s="135">
        <f>I96</f>
        <v>62.739999999999995</v>
      </c>
      <c r="J108" s="134"/>
      <c r="K108" s="141"/>
      <c r="L108" s="141"/>
    </row>
    <row r="109" spans="1:12" ht="15.75" customHeight="1">
      <c r="A109" s="371"/>
      <c r="B109" s="371"/>
      <c r="C109" s="371"/>
      <c r="D109" s="371"/>
      <c r="E109" s="371"/>
      <c r="F109" s="371"/>
      <c r="G109" s="358" t="s">
        <v>469</v>
      </c>
      <c r="H109" s="358"/>
      <c r="I109" s="135">
        <f>I104</f>
        <v>178.16</v>
      </c>
      <c r="J109" s="134"/>
      <c r="K109" s="141"/>
      <c r="L109" s="141"/>
    </row>
    <row r="110" spans="1:12" ht="15.75" customHeight="1">
      <c r="A110" s="371"/>
      <c r="B110" s="371"/>
      <c r="C110" s="371"/>
      <c r="D110" s="371"/>
      <c r="E110" s="371"/>
      <c r="F110" s="371"/>
      <c r="G110" s="359" t="s">
        <v>389</v>
      </c>
      <c r="H110" s="359"/>
      <c r="I110" s="140">
        <f>SUM(I105:I109)</f>
        <v>3508.3179999999998</v>
      </c>
      <c r="J110" s="134"/>
      <c r="K110" s="109"/>
      <c r="L110" s="109"/>
    </row>
    <row r="111" spans="1:12" ht="15.75" customHeight="1">
      <c r="A111" s="351" t="s">
        <v>470</v>
      </c>
      <c r="B111" s="351"/>
      <c r="C111" s="351"/>
      <c r="D111" s="351"/>
      <c r="E111" s="351"/>
      <c r="F111" s="351"/>
      <c r="G111" s="351"/>
      <c r="H111" s="351"/>
      <c r="I111" s="351"/>
      <c r="J111" s="134"/>
      <c r="K111" s="109"/>
      <c r="L111" s="109"/>
    </row>
    <row r="112" spans="1:12" ht="15.75" customHeight="1">
      <c r="A112" s="96">
        <v>6</v>
      </c>
      <c r="B112" s="351" t="s">
        <v>471</v>
      </c>
      <c r="C112" s="351"/>
      <c r="D112" s="351"/>
      <c r="E112" s="351"/>
      <c r="F112" s="351"/>
      <c r="G112" s="351"/>
      <c r="H112" s="96" t="s">
        <v>362</v>
      </c>
      <c r="I112" s="96" t="s">
        <v>363</v>
      </c>
      <c r="J112" s="134"/>
      <c r="K112" s="109"/>
      <c r="L112" s="109"/>
    </row>
    <row r="113" spans="1:12" ht="15.75" customHeight="1">
      <c r="A113" s="95" t="s">
        <v>319</v>
      </c>
      <c r="B113" s="352" t="s">
        <v>472</v>
      </c>
      <c r="C113" s="352"/>
      <c r="D113" s="352"/>
      <c r="E113" s="352"/>
      <c r="F113" s="352"/>
      <c r="G113" s="352"/>
      <c r="H113" s="166">
        <v>1.4999999999999999E-2</v>
      </c>
      <c r="I113" s="133">
        <f>ROUND(H113*I110,2)</f>
        <v>52.62</v>
      </c>
      <c r="J113" s="134"/>
      <c r="K113" s="109"/>
      <c r="L113" s="109"/>
    </row>
    <row r="114" spans="1:12" ht="15.75" customHeight="1">
      <c r="A114" s="95" t="s">
        <v>322</v>
      </c>
      <c r="B114" s="352" t="s">
        <v>473</v>
      </c>
      <c r="C114" s="352"/>
      <c r="D114" s="352"/>
      <c r="E114" s="352"/>
      <c r="F114" s="352"/>
      <c r="G114" s="352"/>
      <c r="H114" s="166">
        <v>1.4999999999999999E-2</v>
      </c>
      <c r="I114" s="133">
        <f>ROUND(H114*(I110+I113),2)</f>
        <v>53.41</v>
      </c>
      <c r="J114" s="134"/>
      <c r="K114" s="109"/>
      <c r="L114" s="109"/>
    </row>
    <row r="115" spans="1:12" ht="15.75" customHeight="1">
      <c r="A115" s="95" t="s">
        <v>326</v>
      </c>
      <c r="B115" s="364" t="s">
        <v>474</v>
      </c>
      <c r="C115" s="364"/>
      <c r="D115" s="364"/>
      <c r="E115" s="364"/>
      <c r="F115" s="364"/>
      <c r="G115" s="364"/>
      <c r="H115" s="97"/>
      <c r="I115" s="184"/>
      <c r="J115" s="134"/>
      <c r="K115" s="109"/>
      <c r="L115" s="109"/>
    </row>
    <row r="116" spans="1:12" ht="15.75" customHeight="1">
      <c r="A116" s="95" t="s">
        <v>475</v>
      </c>
      <c r="B116" s="352" t="s">
        <v>476</v>
      </c>
      <c r="C116" s="352"/>
      <c r="D116" s="352"/>
      <c r="E116" s="352"/>
      <c r="F116" s="352"/>
      <c r="G116" s="352"/>
      <c r="H116" s="166">
        <v>5.7999999999999996E-3</v>
      </c>
      <c r="I116" s="133">
        <f>ROUND($I$126*H116,2)</f>
        <v>22.85</v>
      </c>
      <c r="J116" s="134"/>
      <c r="K116" s="109"/>
      <c r="L116" s="109"/>
    </row>
    <row r="117" spans="1:12" ht="15.75" customHeight="1">
      <c r="A117" s="95" t="s">
        <v>477</v>
      </c>
      <c r="B117" s="352" t="s">
        <v>376</v>
      </c>
      <c r="C117" s="352"/>
      <c r="D117" s="352"/>
      <c r="E117" s="352"/>
      <c r="F117" s="352"/>
      <c r="G117" s="352"/>
      <c r="H117" s="166">
        <v>2.6599999999999999E-2</v>
      </c>
      <c r="I117" s="133">
        <f>ROUND($I$126*H117,2)</f>
        <v>104.78</v>
      </c>
      <c r="J117" s="134"/>
      <c r="K117" s="109"/>
      <c r="L117" s="109"/>
    </row>
    <row r="118" spans="1:12" ht="15.75" customHeight="1">
      <c r="A118" s="95" t="s">
        <v>478</v>
      </c>
      <c r="B118" s="352" t="s">
        <v>479</v>
      </c>
      <c r="C118" s="352"/>
      <c r="D118" s="352"/>
      <c r="E118" s="352"/>
      <c r="F118" s="352"/>
      <c r="G118" s="352"/>
      <c r="H118" s="167">
        <v>0.05</v>
      </c>
      <c r="I118" s="133">
        <f>ROUND($I$126*H118,2)</f>
        <v>196.95</v>
      </c>
      <c r="J118" s="134"/>
      <c r="K118" s="109"/>
      <c r="L118" s="109"/>
    </row>
    <row r="119" spans="1:12" ht="15.75" customHeight="1">
      <c r="A119" s="351" t="s">
        <v>480</v>
      </c>
      <c r="B119" s="351"/>
      <c r="C119" s="351"/>
      <c r="D119" s="351"/>
      <c r="E119" s="351"/>
      <c r="F119" s="351"/>
      <c r="G119" s="351"/>
      <c r="H119" s="168">
        <f>SUM(H113:H118)</f>
        <v>0.1124</v>
      </c>
      <c r="I119" s="129">
        <f>SUM(I113:I118)</f>
        <v>430.61</v>
      </c>
      <c r="J119" s="134"/>
      <c r="K119" s="109"/>
      <c r="L119" s="109"/>
    </row>
    <row r="120" spans="1:12" ht="8.1" customHeight="1">
      <c r="A120" s="169"/>
      <c r="B120" s="170"/>
      <c r="C120" s="170"/>
      <c r="D120" s="170"/>
      <c r="E120" s="170"/>
      <c r="F120" s="170"/>
      <c r="G120" s="170"/>
      <c r="H120" s="171"/>
      <c r="I120" s="185"/>
      <c r="J120" s="134"/>
      <c r="K120" s="109"/>
      <c r="L120" s="109"/>
    </row>
    <row r="121" spans="1:12" ht="15.75" customHeight="1">
      <c r="A121" s="172" t="s">
        <v>481</v>
      </c>
      <c r="B121" s="365" t="s">
        <v>482</v>
      </c>
      <c r="C121" s="365"/>
      <c r="D121" s="365"/>
      <c r="E121" s="365"/>
      <c r="F121" s="365"/>
      <c r="G121" s="365"/>
      <c r="H121" s="174">
        <f>SUM(H116+H117+H118)</f>
        <v>8.2400000000000001E-2</v>
      </c>
      <c r="I121" s="186"/>
      <c r="J121" s="134"/>
      <c r="K121" s="109"/>
      <c r="L121" s="109"/>
    </row>
    <row r="122" spans="1:12" ht="15.75" customHeight="1">
      <c r="A122" s="172"/>
      <c r="B122" s="365">
        <v>100</v>
      </c>
      <c r="C122" s="365"/>
      <c r="D122" s="365"/>
      <c r="E122" s="365"/>
      <c r="F122" s="365"/>
      <c r="G122" s="365"/>
      <c r="H122" s="174"/>
      <c r="I122" s="186"/>
      <c r="J122" s="134"/>
      <c r="K122" s="109"/>
      <c r="L122" s="109"/>
    </row>
    <row r="123" spans="1:12" ht="15.75" customHeight="1">
      <c r="A123" s="175"/>
      <c r="B123" s="176"/>
      <c r="C123" s="176"/>
      <c r="D123" s="176"/>
      <c r="E123" s="176"/>
      <c r="F123" s="176"/>
      <c r="G123" s="176"/>
      <c r="H123" s="176"/>
      <c r="I123" s="187"/>
      <c r="J123" s="134"/>
      <c r="K123" s="141"/>
      <c r="L123" s="141"/>
    </row>
    <row r="124" spans="1:12" ht="15.75" customHeight="1">
      <c r="A124" s="172" t="s">
        <v>483</v>
      </c>
      <c r="B124" s="365" t="s">
        <v>484</v>
      </c>
      <c r="C124" s="365"/>
      <c r="D124" s="365"/>
      <c r="E124" s="365"/>
      <c r="F124" s="365"/>
      <c r="G124" s="365"/>
      <c r="H124" s="174"/>
      <c r="I124" s="186">
        <f>I110+I113+I114</f>
        <v>3614.3479999999995</v>
      </c>
      <c r="J124" s="134"/>
      <c r="K124" s="109"/>
      <c r="L124" s="109"/>
    </row>
    <row r="125" spans="1:12" ht="15.75" customHeight="1">
      <c r="A125" s="177"/>
      <c r="B125" s="178"/>
      <c r="C125" s="178"/>
      <c r="D125" s="178"/>
      <c r="E125" s="178"/>
      <c r="F125" s="178"/>
      <c r="G125" s="178"/>
      <c r="H125" s="178"/>
      <c r="I125" s="188"/>
      <c r="J125" s="134"/>
      <c r="K125" s="109"/>
      <c r="L125" s="109"/>
    </row>
    <row r="126" spans="1:12" ht="15.75" customHeight="1">
      <c r="A126" s="172" t="s">
        <v>485</v>
      </c>
      <c r="B126" s="365" t="s">
        <v>486</v>
      </c>
      <c r="C126" s="365"/>
      <c r="D126" s="365"/>
      <c r="E126" s="365"/>
      <c r="F126" s="365"/>
      <c r="G126" s="365"/>
      <c r="H126" s="174"/>
      <c r="I126" s="186">
        <f>ROUND(I124/(1-H121),2)</f>
        <v>3938.91</v>
      </c>
      <c r="J126" s="134"/>
      <c r="K126" s="109"/>
      <c r="L126" s="109"/>
    </row>
    <row r="127" spans="1:12" ht="15.75" customHeight="1">
      <c r="A127" s="172"/>
      <c r="B127" s="173"/>
      <c r="C127" s="173"/>
      <c r="D127" s="173"/>
      <c r="E127" s="173"/>
      <c r="F127" s="173"/>
      <c r="G127" s="173"/>
      <c r="H127" s="174"/>
      <c r="I127" s="186"/>
      <c r="J127" s="134"/>
      <c r="K127" s="109"/>
      <c r="L127" s="109"/>
    </row>
    <row r="128" spans="1:12" ht="15.75" customHeight="1">
      <c r="A128" s="172"/>
      <c r="B128" s="365" t="s">
        <v>487</v>
      </c>
      <c r="C128" s="365"/>
      <c r="D128" s="365"/>
      <c r="E128" s="365"/>
      <c r="F128" s="365"/>
      <c r="G128" s="365"/>
      <c r="H128" s="174"/>
      <c r="I128" s="186">
        <f>I126-I124</f>
        <v>324.56200000000035</v>
      </c>
      <c r="J128" s="134"/>
      <c r="K128" s="109"/>
      <c r="L128" s="109"/>
    </row>
    <row r="129" spans="1:12" ht="9" customHeight="1">
      <c r="A129" s="172"/>
      <c r="B129" s="173"/>
      <c r="H129" s="174"/>
      <c r="I129" s="186"/>
      <c r="J129" s="134"/>
      <c r="K129" s="109"/>
      <c r="L129" s="109"/>
    </row>
    <row r="130" spans="1:12" ht="15.75" customHeight="1">
      <c r="A130" s="351" t="s">
        <v>488</v>
      </c>
      <c r="B130" s="351"/>
      <c r="C130" s="351"/>
      <c r="D130" s="351"/>
      <c r="E130" s="351"/>
      <c r="F130" s="351"/>
      <c r="G130" s="351"/>
      <c r="H130" s="351"/>
      <c r="I130" s="351"/>
      <c r="J130" s="134"/>
      <c r="K130" s="109"/>
      <c r="L130" s="109"/>
    </row>
    <row r="131" spans="1:12" ht="15.75" customHeight="1">
      <c r="A131" s="351" t="s">
        <v>489</v>
      </c>
      <c r="B131" s="351"/>
      <c r="C131" s="351"/>
      <c r="D131" s="351"/>
      <c r="E131" s="351"/>
      <c r="F131" s="351"/>
      <c r="G131" s="351"/>
      <c r="H131" s="351"/>
      <c r="I131" s="96" t="s">
        <v>363</v>
      </c>
      <c r="J131" s="134"/>
      <c r="K131" s="141"/>
      <c r="L131" s="141"/>
    </row>
    <row r="132" spans="1:12" ht="15.75" customHeight="1">
      <c r="A132" s="63" t="s">
        <v>319</v>
      </c>
      <c r="B132" s="352" t="str">
        <f>A21</f>
        <v>MÓDULO 1 - COMPOSIÇÃO DA REMUNERAÇÃO</v>
      </c>
      <c r="C132" s="352"/>
      <c r="D132" s="352"/>
      <c r="E132" s="352"/>
      <c r="F132" s="352"/>
      <c r="G132" s="352"/>
      <c r="H132" s="352"/>
      <c r="I132" s="189">
        <f>I29</f>
        <v>1553.96</v>
      </c>
      <c r="J132" s="134"/>
      <c r="K132" s="141"/>
      <c r="L132" s="141"/>
    </row>
    <row r="133" spans="1:12" ht="15.75" customHeight="1">
      <c r="A133" s="63" t="s">
        <v>322</v>
      </c>
      <c r="B133" s="352" t="str">
        <f>A31</f>
        <v>MÓDULO 2 – ENCARGOS E BENEFÍCIOS ANUAIS, MENSAIS E DIÁRIOS</v>
      </c>
      <c r="C133" s="352"/>
      <c r="D133" s="352"/>
      <c r="E133" s="352"/>
      <c r="F133" s="352"/>
      <c r="G133" s="352"/>
      <c r="H133" s="352"/>
      <c r="I133" s="189">
        <f>I62</f>
        <v>1501.4180000000001</v>
      </c>
      <c r="J133" s="134"/>
      <c r="K133" s="141"/>
      <c r="L133" s="141"/>
    </row>
    <row r="134" spans="1:12" ht="15.75" customHeight="1">
      <c r="A134" s="63" t="s">
        <v>326</v>
      </c>
      <c r="B134" s="352" t="str">
        <f>A66</f>
        <v>MÓDULO 3 – PROVISÃO PARA RESCISÃO</v>
      </c>
      <c r="C134" s="352"/>
      <c r="D134" s="352"/>
      <c r="E134" s="352"/>
      <c r="F134" s="352"/>
      <c r="G134" s="352"/>
      <c r="H134" s="352"/>
      <c r="I134" s="189">
        <f>I73</f>
        <v>212.04000000000002</v>
      </c>
      <c r="J134" s="134"/>
      <c r="K134" s="100"/>
      <c r="L134" s="100"/>
    </row>
    <row r="135" spans="1:12" ht="15.75" customHeight="1">
      <c r="A135" s="63" t="s">
        <v>330</v>
      </c>
      <c r="B135" s="352" t="str">
        <f>A78</f>
        <v>MÓDULO 4 – CUSTO DE REPOSIÇÃO DO PROFISSIONAL AUSENTE</v>
      </c>
      <c r="C135" s="352"/>
      <c r="D135" s="352"/>
      <c r="E135" s="352"/>
      <c r="F135" s="352"/>
      <c r="G135" s="352"/>
      <c r="H135" s="352"/>
      <c r="I135" s="189">
        <f>I96</f>
        <v>62.739999999999995</v>
      </c>
      <c r="J135" s="190"/>
      <c r="K135" s="100"/>
      <c r="L135" s="100"/>
    </row>
    <row r="136" spans="1:12" ht="15.75" customHeight="1">
      <c r="A136" s="63" t="s">
        <v>372</v>
      </c>
      <c r="B136" s="352" t="str">
        <f>A98</f>
        <v>MÓDULO 5 – INSUMOS DIVERSOS</v>
      </c>
      <c r="C136" s="352"/>
      <c r="D136" s="352"/>
      <c r="E136" s="352"/>
      <c r="F136" s="352"/>
      <c r="G136" s="352"/>
      <c r="H136" s="352"/>
      <c r="I136" s="189">
        <f>I104</f>
        <v>178.16</v>
      </c>
      <c r="J136" s="134"/>
      <c r="K136" s="100"/>
      <c r="L136" s="100"/>
    </row>
    <row r="137" spans="1:12" ht="15.75" customHeight="1">
      <c r="A137" s="351" t="s">
        <v>490</v>
      </c>
      <c r="B137" s="351"/>
      <c r="C137" s="351"/>
      <c r="D137" s="351"/>
      <c r="E137" s="351"/>
      <c r="F137" s="351"/>
      <c r="G137" s="351"/>
      <c r="H137" s="351"/>
      <c r="I137" s="129">
        <f>SUM(I132:I136)</f>
        <v>3508.3179999999998</v>
      </c>
      <c r="J137" s="134"/>
    </row>
    <row r="138" spans="1:12" ht="15.75" customHeight="1">
      <c r="A138" s="63" t="s">
        <v>374</v>
      </c>
      <c r="B138" s="352" t="str">
        <f>A111</f>
        <v>MÓDULO 6 – CUSTOS INDIRETOS, TRIBUTOS E LUCRO</v>
      </c>
      <c r="C138" s="352"/>
      <c r="D138" s="352"/>
      <c r="E138" s="352"/>
      <c r="F138" s="352"/>
      <c r="G138" s="352"/>
      <c r="H138" s="352"/>
      <c r="I138" s="189">
        <f>I119</f>
        <v>430.61</v>
      </c>
      <c r="J138" s="191">
        <f>SUM(J28:J137)</f>
        <v>2851.2740400000002</v>
      </c>
    </row>
    <row r="139" spans="1:12" ht="15.75" customHeight="1">
      <c r="A139" s="351" t="s">
        <v>491</v>
      </c>
      <c r="B139" s="351"/>
      <c r="C139" s="351"/>
      <c r="D139" s="351"/>
      <c r="E139" s="351"/>
      <c r="F139" s="351"/>
      <c r="G139" s="351"/>
      <c r="H139" s="351"/>
      <c r="I139" s="129">
        <f>SUM(I137:I138)</f>
        <v>3938.9279999999999</v>
      </c>
    </row>
    <row r="140" spans="1:12" ht="15.75" customHeight="1"/>
    <row r="141" spans="1:12" ht="15.75" customHeight="1"/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4" firstPageNumber="0" orientation="portrait" useFirstPageNumber="1" horizontalDpi="300" verticalDpi="300"/>
  <rowBreaks count="1" manualBreakCount="1">
    <brk id="140" max="16383" man="1"/>
  </rowBreaks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997"/>
  <sheetViews>
    <sheetView topLeftCell="H55" zoomScale="90" zoomScaleNormal="90" workbookViewId="0">
      <selection activeCell="B117" sqref="B117:G117"/>
    </sheetView>
  </sheetViews>
  <sheetFormatPr defaultColWidth="9" defaultRowHeight="15"/>
  <cols>
    <col min="1" max="1" width="7.42578125" customWidth="1"/>
    <col min="2" max="2" width="10.85546875" customWidth="1"/>
    <col min="3" max="4" width="14.85546875" customWidth="1"/>
    <col min="5" max="5" width="12.42578125" customWidth="1"/>
    <col min="6" max="6" width="10.42578125" customWidth="1"/>
    <col min="7" max="7" width="14.7109375" customWidth="1"/>
    <col min="8" max="8" width="17.28515625" customWidth="1"/>
    <col min="9" max="9" width="28.5703125" customWidth="1"/>
    <col min="10" max="10" width="16.5703125" customWidth="1"/>
    <col min="11" max="11" width="48.42578125" customWidth="1"/>
    <col min="12" max="12" width="20.28515625" customWidth="1"/>
    <col min="13" max="1025" width="14.42578125" customWidth="1"/>
  </cols>
  <sheetData>
    <row r="1" spans="1:12" ht="15.75">
      <c r="A1" s="348" t="s">
        <v>510</v>
      </c>
      <c r="B1" s="348"/>
      <c r="C1" s="348"/>
      <c r="D1" s="348"/>
      <c r="E1" s="348"/>
      <c r="F1" s="348"/>
      <c r="G1" s="348"/>
      <c r="H1" s="348"/>
      <c r="I1" s="348"/>
      <c r="J1" s="366" t="s">
        <v>315</v>
      </c>
      <c r="K1" s="100"/>
      <c r="L1" s="100"/>
    </row>
    <row r="2" spans="1:12" ht="15.75">
      <c r="A2" s="348"/>
      <c r="B2" s="348"/>
      <c r="C2" s="348"/>
      <c r="D2" s="348"/>
      <c r="E2" s="348"/>
      <c r="F2" s="348"/>
      <c r="G2" s="348"/>
      <c r="H2" s="348"/>
      <c r="I2" s="348"/>
      <c r="J2" s="366"/>
      <c r="K2" s="100"/>
      <c r="L2" s="100"/>
    </row>
    <row r="3" spans="1:12" ht="15.75">
      <c r="A3" s="348" t="s">
        <v>316</v>
      </c>
      <c r="B3" s="348"/>
      <c r="C3" s="348"/>
      <c r="D3" s="348"/>
      <c r="E3" s="348"/>
      <c r="F3" s="348"/>
      <c r="G3" s="348"/>
      <c r="H3" s="350" t="s">
        <v>317</v>
      </c>
      <c r="I3" s="350"/>
      <c r="J3" s="366"/>
      <c r="K3" s="100"/>
      <c r="L3" s="100"/>
    </row>
    <row r="4" spans="1:12" ht="15.75">
      <c r="A4" s="348"/>
      <c r="B4" s="348"/>
      <c r="C4" s="348"/>
      <c r="D4" s="348"/>
      <c r="E4" s="348"/>
      <c r="F4" s="348"/>
      <c r="G4" s="348"/>
      <c r="H4" s="348"/>
      <c r="I4" s="348"/>
      <c r="J4" s="366"/>
      <c r="K4" s="101"/>
      <c r="L4" s="101"/>
    </row>
    <row r="5" spans="1:12" ht="15.75">
      <c r="A5" s="351" t="s">
        <v>318</v>
      </c>
      <c r="B5" s="351"/>
      <c r="C5" s="351"/>
      <c r="D5" s="351"/>
      <c r="E5" s="351"/>
      <c r="F5" s="351"/>
      <c r="G5" s="351"/>
      <c r="H5" s="351"/>
      <c r="I5" s="351"/>
      <c r="J5" s="366"/>
      <c r="K5" s="100"/>
      <c r="L5" s="100"/>
    </row>
    <row r="6" spans="1:12" ht="15.75">
      <c r="A6" s="63" t="s">
        <v>319</v>
      </c>
      <c r="B6" s="352" t="s">
        <v>320</v>
      </c>
      <c r="C6" s="352"/>
      <c r="D6" s="352"/>
      <c r="E6" s="352"/>
      <c r="F6" s="352"/>
      <c r="G6" s="352"/>
      <c r="H6" s="352"/>
      <c r="I6" s="102"/>
      <c r="J6" s="366"/>
      <c r="K6" s="103" t="s">
        <v>321</v>
      </c>
      <c r="L6" s="104"/>
    </row>
    <row r="7" spans="1:12" ht="15.75">
      <c r="A7" s="63" t="s">
        <v>322</v>
      </c>
      <c r="B7" s="352" t="s">
        <v>323</v>
      </c>
      <c r="C7" s="352"/>
      <c r="D7" s="352"/>
      <c r="E7" s="352"/>
      <c r="F7" s="352"/>
      <c r="G7" s="352"/>
      <c r="H7" s="352"/>
      <c r="I7" s="63" t="s">
        <v>324</v>
      </c>
      <c r="J7" s="366"/>
      <c r="K7" s="105" t="s">
        <v>325</v>
      </c>
      <c r="L7" s="106"/>
    </row>
    <row r="8" spans="1:12" ht="15.75">
      <c r="A8" s="63" t="s">
        <v>326</v>
      </c>
      <c r="B8" s="352" t="s">
        <v>327</v>
      </c>
      <c r="C8" s="352"/>
      <c r="D8" s="352"/>
      <c r="E8" s="352"/>
      <c r="F8" s="352"/>
      <c r="G8" s="352"/>
      <c r="H8" s="352"/>
      <c r="I8" s="63" t="s">
        <v>328</v>
      </c>
      <c r="J8" s="366"/>
      <c r="K8" s="107" t="s">
        <v>329</v>
      </c>
      <c r="L8" s="108">
        <f>J138</f>
        <v>2851.2740400000002</v>
      </c>
    </row>
    <row r="9" spans="1:12" ht="15.75">
      <c r="A9" s="63" t="s">
        <v>330</v>
      </c>
      <c r="B9" s="352" t="s">
        <v>331</v>
      </c>
      <c r="C9" s="352"/>
      <c r="D9" s="352"/>
      <c r="E9" s="352"/>
      <c r="F9" s="352"/>
      <c r="G9" s="352"/>
      <c r="H9" s="352"/>
      <c r="I9" s="63">
        <v>12</v>
      </c>
      <c r="J9" s="366"/>
      <c r="K9" s="109"/>
      <c r="L9" s="109"/>
    </row>
    <row r="10" spans="1:12" ht="15.75">
      <c r="A10" s="353"/>
      <c r="B10" s="353"/>
      <c r="C10" s="353"/>
      <c r="D10" s="353"/>
      <c r="E10" s="353"/>
      <c r="F10" s="353"/>
      <c r="G10" s="353"/>
      <c r="H10" s="353"/>
      <c r="I10" s="353"/>
      <c r="J10" s="366"/>
      <c r="K10" s="103" t="s">
        <v>332</v>
      </c>
      <c r="L10" s="104"/>
    </row>
    <row r="11" spans="1:12" ht="12.75" customHeight="1">
      <c r="A11" s="351" t="s">
        <v>333</v>
      </c>
      <c r="B11" s="351"/>
      <c r="C11" s="351"/>
      <c r="D11" s="351"/>
      <c r="E11" s="351"/>
      <c r="F11" s="351"/>
      <c r="G11" s="351"/>
      <c r="H11" s="351"/>
      <c r="I11" s="351"/>
      <c r="J11" s="366"/>
      <c r="K11" s="110" t="s">
        <v>334</v>
      </c>
      <c r="L11" s="111"/>
    </row>
    <row r="12" spans="1:12" ht="15.75">
      <c r="A12" s="350" t="s">
        <v>335</v>
      </c>
      <c r="B12" s="350"/>
      <c r="C12" s="350" t="s">
        <v>336</v>
      </c>
      <c r="D12" s="350"/>
      <c r="E12" s="350" t="s">
        <v>337</v>
      </c>
      <c r="F12" s="350"/>
      <c r="G12" s="350"/>
      <c r="H12" s="350"/>
      <c r="I12" s="350"/>
      <c r="J12" s="366"/>
      <c r="K12" s="112" t="s">
        <v>338</v>
      </c>
      <c r="L12" s="113">
        <v>0.11</v>
      </c>
    </row>
    <row r="13" spans="1:12" ht="15.75">
      <c r="A13" s="354" t="s">
        <v>339</v>
      </c>
      <c r="B13" s="354"/>
      <c r="C13" s="355" t="s">
        <v>499</v>
      </c>
      <c r="D13" s="355"/>
      <c r="E13" s="350"/>
      <c r="F13" s="350"/>
      <c r="G13" s="350"/>
      <c r="H13" s="350"/>
      <c r="I13" s="350"/>
      <c r="J13" s="366"/>
      <c r="K13" s="114" t="s">
        <v>341</v>
      </c>
      <c r="L13" s="115">
        <f>I52</f>
        <v>473.82</v>
      </c>
    </row>
    <row r="14" spans="1:12" ht="15.75">
      <c r="A14" s="351" t="s">
        <v>342</v>
      </c>
      <c r="B14" s="351"/>
      <c r="C14" s="351"/>
      <c r="D14" s="351"/>
      <c r="E14" s="351"/>
      <c r="F14" s="351"/>
      <c r="G14" s="351"/>
      <c r="H14" s="351"/>
      <c r="I14" s="351"/>
      <c r="J14" s="366"/>
      <c r="K14" s="114" t="s">
        <v>343</v>
      </c>
      <c r="L14" s="115">
        <f>I104</f>
        <v>178.16</v>
      </c>
    </row>
    <row r="15" spans="1:12" ht="26.25">
      <c r="A15" s="63">
        <v>1</v>
      </c>
      <c r="B15" s="352" t="s">
        <v>344</v>
      </c>
      <c r="C15" s="352"/>
      <c r="D15" s="352"/>
      <c r="E15" s="352"/>
      <c r="F15" s="352"/>
      <c r="G15" s="352"/>
      <c r="H15" s="352"/>
      <c r="I15" s="69" t="s">
        <v>500</v>
      </c>
      <c r="J15" s="366"/>
      <c r="K15" s="114" t="s">
        <v>346</v>
      </c>
      <c r="L15" s="115">
        <f>I51</f>
        <v>0</v>
      </c>
    </row>
    <row r="16" spans="1:12" ht="15.75">
      <c r="A16" s="63">
        <v>2</v>
      </c>
      <c r="B16" s="352" t="s">
        <v>347</v>
      </c>
      <c r="C16" s="352"/>
      <c r="D16" s="352"/>
      <c r="E16" s="352"/>
      <c r="F16" s="352"/>
      <c r="G16" s="352"/>
      <c r="H16" s="352"/>
      <c r="I16" s="63" t="s">
        <v>501</v>
      </c>
      <c r="J16" s="366"/>
      <c r="K16" s="116" t="s">
        <v>349</v>
      </c>
      <c r="L16" s="117">
        <f>SUM(L13:L15)</f>
        <v>651.98</v>
      </c>
    </row>
    <row r="17" spans="1:12" ht="15.75">
      <c r="A17" s="63">
        <v>3</v>
      </c>
      <c r="B17" s="352" t="s">
        <v>350</v>
      </c>
      <c r="C17" s="352"/>
      <c r="D17" s="352"/>
      <c r="E17" s="352"/>
      <c r="F17" s="352"/>
      <c r="G17" s="352"/>
      <c r="H17" s="352"/>
      <c r="I17" s="64">
        <v>1553.96</v>
      </c>
      <c r="J17" s="366"/>
      <c r="K17" s="114" t="s">
        <v>351</v>
      </c>
      <c r="L17" s="118">
        <f>I139</f>
        <v>3938.9279999999999</v>
      </c>
    </row>
    <row r="18" spans="1:12" ht="38.25">
      <c r="A18" s="6">
        <v>4</v>
      </c>
      <c r="B18" s="356" t="s">
        <v>352</v>
      </c>
      <c r="C18" s="356"/>
      <c r="D18" s="356"/>
      <c r="E18" s="356"/>
      <c r="F18" s="356"/>
      <c r="G18" s="356"/>
      <c r="H18" s="356"/>
      <c r="I18" s="13" t="s">
        <v>353</v>
      </c>
      <c r="J18" s="366"/>
      <c r="K18" s="119" t="s">
        <v>354</v>
      </c>
      <c r="L18" s="120">
        <f>L17-L16</f>
        <v>3286.9479999999999</v>
      </c>
    </row>
    <row r="19" spans="1:12" ht="15.75">
      <c r="A19" s="63">
        <v>5</v>
      </c>
      <c r="B19" s="352" t="s">
        <v>355</v>
      </c>
      <c r="C19" s="352"/>
      <c r="D19" s="352"/>
      <c r="E19" s="352"/>
      <c r="F19" s="352"/>
      <c r="G19" s="352"/>
      <c r="H19" s="352"/>
      <c r="I19" s="102" t="s">
        <v>356</v>
      </c>
      <c r="J19" s="366"/>
      <c r="K19" s="121" t="s">
        <v>357</v>
      </c>
      <c r="L19" s="122">
        <f>L18*11%</f>
        <v>361.56428</v>
      </c>
    </row>
    <row r="20" spans="1:12" ht="15.75">
      <c r="A20" s="357"/>
      <c r="B20" s="357"/>
      <c r="C20" s="357"/>
      <c r="D20" s="357"/>
      <c r="E20" s="357"/>
      <c r="F20" s="357"/>
      <c r="G20" s="357"/>
      <c r="H20" s="357"/>
      <c r="I20" s="357"/>
      <c r="J20" s="366"/>
      <c r="K20" s="112" t="s">
        <v>358</v>
      </c>
      <c r="L20" s="123"/>
    </row>
    <row r="21" spans="1:12" ht="15.75" customHeight="1">
      <c r="A21" s="351" t="s">
        <v>359</v>
      </c>
      <c r="B21" s="351"/>
      <c r="C21" s="351"/>
      <c r="D21" s="351"/>
      <c r="E21" s="351"/>
      <c r="F21" s="351"/>
      <c r="G21" s="351"/>
      <c r="H21" s="351"/>
      <c r="I21" s="351"/>
      <c r="J21" s="366"/>
      <c r="K21" s="124" t="s">
        <v>360</v>
      </c>
      <c r="L21" s="125">
        <v>1.2E-2</v>
      </c>
    </row>
    <row r="22" spans="1:12" ht="15.75" customHeight="1">
      <c r="A22" s="95">
        <v>1</v>
      </c>
      <c r="B22" s="351" t="s">
        <v>361</v>
      </c>
      <c r="C22" s="351"/>
      <c r="D22" s="351"/>
      <c r="E22" s="351"/>
      <c r="F22" s="351"/>
      <c r="G22" s="351"/>
      <c r="H22" s="96" t="s">
        <v>362</v>
      </c>
      <c r="I22" s="96" t="s">
        <v>363</v>
      </c>
      <c r="J22" s="366"/>
      <c r="K22" s="126" t="s">
        <v>364</v>
      </c>
      <c r="L22" s="127">
        <v>4.8000000000000001E-2</v>
      </c>
    </row>
    <row r="23" spans="1:12" ht="15.75" customHeight="1">
      <c r="A23" s="95" t="s">
        <v>319</v>
      </c>
      <c r="B23" s="352" t="s">
        <v>365</v>
      </c>
      <c r="C23" s="352"/>
      <c r="D23" s="352"/>
      <c r="E23" s="352"/>
      <c r="F23" s="352"/>
      <c r="G23" s="352"/>
      <c r="H23" s="62"/>
      <c r="I23" s="128">
        <f>I17</f>
        <v>1553.96</v>
      </c>
      <c r="J23" s="366"/>
      <c r="K23" s="114" t="s">
        <v>366</v>
      </c>
      <c r="L23" s="118">
        <f>L17</f>
        <v>3938.9279999999999</v>
      </c>
    </row>
    <row r="24" spans="1:12" ht="15.75" customHeight="1">
      <c r="A24" s="95" t="s">
        <v>322</v>
      </c>
      <c r="B24" s="352" t="s">
        <v>367</v>
      </c>
      <c r="C24" s="352"/>
      <c r="D24" s="352"/>
      <c r="E24" s="352"/>
      <c r="F24" s="352"/>
      <c r="G24" s="352"/>
      <c r="H24" s="97"/>
      <c r="I24" s="128">
        <v>0</v>
      </c>
      <c r="J24" s="366"/>
      <c r="K24" s="121" t="s">
        <v>368</v>
      </c>
      <c r="L24" s="122">
        <f>L23*L21</f>
        <v>47.267136000000001</v>
      </c>
    </row>
    <row r="25" spans="1:12" ht="15.75" customHeight="1">
      <c r="A25" s="95" t="s">
        <v>326</v>
      </c>
      <c r="B25" s="352" t="s">
        <v>369</v>
      </c>
      <c r="C25" s="352"/>
      <c r="D25" s="352"/>
      <c r="E25" s="352"/>
      <c r="F25" s="352"/>
      <c r="G25" s="352"/>
      <c r="H25" s="97"/>
      <c r="I25" s="128">
        <v>0</v>
      </c>
      <c r="J25" s="366"/>
      <c r="K25" s="112" t="s">
        <v>370</v>
      </c>
      <c r="L25" s="113">
        <v>0.01</v>
      </c>
    </row>
    <row r="26" spans="1:12" ht="15.75" customHeight="1">
      <c r="A26" s="95" t="s">
        <v>330</v>
      </c>
      <c r="B26" s="352" t="s">
        <v>371</v>
      </c>
      <c r="C26" s="352"/>
      <c r="D26" s="352"/>
      <c r="E26" s="352"/>
      <c r="F26" s="352"/>
      <c r="G26" s="352"/>
      <c r="H26" s="97"/>
      <c r="I26" s="128">
        <v>0</v>
      </c>
      <c r="J26" s="366"/>
      <c r="K26" s="119" t="s">
        <v>351</v>
      </c>
      <c r="L26" s="120">
        <f>L17</f>
        <v>3938.9279999999999</v>
      </c>
    </row>
    <row r="27" spans="1:12" ht="15.75" customHeight="1">
      <c r="A27" s="95" t="s">
        <v>372</v>
      </c>
      <c r="B27" s="352" t="s">
        <v>373</v>
      </c>
      <c r="C27" s="352"/>
      <c r="D27" s="352"/>
      <c r="E27" s="352"/>
      <c r="F27" s="352"/>
      <c r="G27" s="352"/>
      <c r="H27" s="97"/>
      <c r="I27" s="128">
        <v>0</v>
      </c>
      <c r="J27" s="366"/>
      <c r="K27" s="121" t="s">
        <v>357</v>
      </c>
      <c r="L27" s="122">
        <f>L26*L25</f>
        <v>39.389279999999999</v>
      </c>
    </row>
    <row r="28" spans="1:12" ht="15.75" customHeight="1">
      <c r="A28" s="95" t="s">
        <v>374</v>
      </c>
      <c r="B28" s="352" t="s">
        <v>375</v>
      </c>
      <c r="C28" s="352"/>
      <c r="D28" s="352"/>
      <c r="E28" s="352"/>
      <c r="F28" s="352"/>
      <c r="G28" s="352"/>
      <c r="H28" s="97"/>
      <c r="I28" s="128">
        <v>0</v>
      </c>
      <c r="J28" s="366"/>
      <c r="K28" s="112" t="s">
        <v>376</v>
      </c>
      <c r="L28" s="113">
        <f>H117</f>
        <v>2.6599999999999999E-2</v>
      </c>
    </row>
    <row r="29" spans="1:12" ht="15.75" customHeight="1">
      <c r="A29" s="351" t="s">
        <v>377</v>
      </c>
      <c r="B29" s="351"/>
      <c r="C29" s="351"/>
      <c r="D29" s="351"/>
      <c r="E29" s="351"/>
      <c r="F29" s="351"/>
      <c r="G29" s="351"/>
      <c r="H29" s="351"/>
      <c r="I29" s="129">
        <f>SUM(I23:I28)</f>
        <v>1553.96</v>
      </c>
      <c r="J29" s="130">
        <f>SUM(I23:I28)</f>
        <v>1553.96</v>
      </c>
      <c r="K29" s="119" t="s">
        <v>351</v>
      </c>
      <c r="L29" s="120">
        <f>L17</f>
        <v>3938.9279999999999</v>
      </c>
    </row>
    <row r="30" spans="1:12" ht="15.7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131"/>
      <c r="K30" s="121" t="s">
        <v>357</v>
      </c>
      <c r="L30" s="122">
        <f>L29*L28</f>
        <v>104.77548479999999</v>
      </c>
    </row>
    <row r="31" spans="1:12" ht="15.75" customHeight="1">
      <c r="A31" s="351" t="s">
        <v>378</v>
      </c>
      <c r="B31" s="351"/>
      <c r="C31" s="351"/>
      <c r="D31" s="351"/>
      <c r="E31" s="351"/>
      <c r="F31" s="351"/>
      <c r="G31" s="351"/>
      <c r="H31" s="351"/>
      <c r="I31" s="351"/>
      <c r="J31" s="131"/>
      <c r="K31" s="112" t="s">
        <v>379</v>
      </c>
      <c r="L31" s="113">
        <f>H116</f>
        <v>5.7999999999999996E-3</v>
      </c>
    </row>
    <row r="32" spans="1:12" ht="15.75" customHeight="1">
      <c r="A32" s="351" t="s">
        <v>380</v>
      </c>
      <c r="B32" s="351"/>
      <c r="C32" s="351"/>
      <c r="D32" s="351"/>
      <c r="E32" s="351"/>
      <c r="F32" s="351"/>
      <c r="G32" s="351"/>
      <c r="H32" s="96" t="s">
        <v>362</v>
      </c>
      <c r="I32" s="96" t="s">
        <v>363</v>
      </c>
      <c r="J32" s="132"/>
      <c r="K32" s="119" t="s">
        <v>351</v>
      </c>
      <c r="L32" s="120">
        <f>L17</f>
        <v>3938.9279999999999</v>
      </c>
    </row>
    <row r="33" spans="1:12" ht="15.75" customHeight="1">
      <c r="A33" s="95" t="s">
        <v>319</v>
      </c>
      <c r="B33" s="352" t="s">
        <v>381</v>
      </c>
      <c r="C33" s="352"/>
      <c r="D33" s="352"/>
      <c r="E33" s="352"/>
      <c r="F33" s="352"/>
      <c r="G33" s="352"/>
      <c r="H33" s="97">
        <f>ROUND(1/12,4)</f>
        <v>8.3299999999999999E-2</v>
      </c>
      <c r="I33" s="133">
        <f>ROUND(I29*H33,2)</f>
        <v>129.44</v>
      </c>
      <c r="J33" s="130">
        <f>I33+(I33*$H$48)</f>
        <v>174.48511999999999</v>
      </c>
      <c r="K33" s="121" t="s">
        <v>357</v>
      </c>
      <c r="L33" s="122">
        <f>L32*L31</f>
        <v>22.845782399999997</v>
      </c>
    </row>
    <row r="34" spans="1:12" ht="15.75" customHeight="1">
      <c r="A34" s="95" t="s">
        <v>322</v>
      </c>
      <c r="B34" s="352" t="s">
        <v>382</v>
      </c>
      <c r="C34" s="352"/>
      <c r="D34" s="352"/>
      <c r="E34" s="352"/>
      <c r="F34" s="352"/>
      <c r="G34" s="352"/>
      <c r="H34" s="97">
        <v>0.121</v>
      </c>
      <c r="I34" s="133">
        <f>ROUND(I29*H34,2)</f>
        <v>188.03</v>
      </c>
      <c r="J34" s="130">
        <f>I34+(I34*$H$48)</f>
        <v>253.46444000000002</v>
      </c>
      <c r="K34" s="112" t="s">
        <v>383</v>
      </c>
      <c r="L34" s="113">
        <f>H118</f>
        <v>0.05</v>
      </c>
    </row>
    <row r="35" spans="1:12" ht="15.75" customHeight="1">
      <c r="A35" s="351" t="s">
        <v>384</v>
      </c>
      <c r="B35" s="351"/>
      <c r="C35" s="351"/>
      <c r="D35" s="351"/>
      <c r="E35" s="351"/>
      <c r="F35" s="351"/>
      <c r="G35" s="351"/>
      <c r="H35" s="98">
        <f>SUM(H33:H34)</f>
        <v>0.20430000000000001</v>
      </c>
      <c r="I35" s="129">
        <f>SUM(I33:I34)</f>
        <v>317.47000000000003</v>
      </c>
      <c r="J35" s="134"/>
      <c r="K35" s="119" t="s">
        <v>351</v>
      </c>
      <c r="L35" s="120">
        <f>L17</f>
        <v>3938.9279999999999</v>
      </c>
    </row>
    <row r="36" spans="1:12" ht="15.75" customHeight="1">
      <c r="A36" s="369" t="s">
        <v>385</v>
      </c>
      <c r="B36" s="369"/>
      <c r="C36" s="369"/>
      <c r="D36" s="369"/>
      <c r="E36" s="369"/>
      <c r="F36" s="369"/>
      <c r="G36" s="358" t="s">
        <v>386</v>
      </c>
      <c r="H36" s="358"/>
      <c r="I36" s="135">
        <f>I29</f>
        <v>1553.96</v>
      </c>
      <c r="J36" s="136"/>
      <c r="K36" s="121" t="s">
        <v>357</v>
      </c>
      <c r="L36" s="122">
        <f>L35*L34</f>
        <v>196.94640000000001</v>
      </c>
    </row>
    <row r="37" spans="1:12" ht="15.75" customHeight="1">
      <c r="A37" s="369"/>
      <c r="B37" s="369"/>
      <c r="C37" s="369"/>
      <c r="D37" s="369"/>
      <c r="E37" s="369"/>
      <c r="F37" s="369"/>
      <c r="G37" s="358" t="s">
        <v>387</v>
      </c>
      <c r="H37" s="358"/>
      <c r="I37" s="135">
        <f>I35</f>
        <v>317.47000000000003</v>
      </c>
      <c r="J37" s="137"/>
      <c r="K37" s="138" t="s">
        <v>388</v>
      </c>
      <c r="L37" s="139">
        <f>L19+L24+L27+L30+L33+L36</f>
        <v>772.78836319999994</v>
      </c>
    </row>
    <row r="38" spans="1:12" ht="15.75" customHeight="1">
      <c r="A38" s="369"/>
      <c r="B38" s="369"/>
      <c r="C38" s="369"/>
      <c r="D38" s="369"/>
      <c r="E38" s="369"/>
      <c r="F38" s="369"/>
      <c r="G38" s="359" t="s">
        <v>389</v>
      </c>
      <c r="H38" s="359"/>
      <c r="I38" s="140">
        <f>SUM(I36:I37)</f>
        <v>1871.43</v>
      </c>
      <c r="J38" s="136"/>
      <c r="K38" s="141"/>
      <c r="L38" s="141"/>
    </row>
    <row r="39" spans="1:12" ht="15.75" customHeight="1">
      <c r="A39" s="351" t="s">
        <v>390</v>
      </c>
      <c r="B39" s="351"/>
      <c r="C39" s="351"/>
      <c r="D39" s="351"/>
      <c r="E39" s="351"/>
      <c r="F39" s="351"/>
      <c r="G39" s="351"/>
      <c r="H39" s="96" t="s">
        <v>362</v>
      </c>
      <c r="I39" s="96" t="s">
        <v>363</v>
      </c>
      <c r="J39" s="136"/>
      <c r="K39" s="142" t="s">
        <v>391</v>
      </c>
      <c r="L39" s="143"/>
    </row>
    <row r="40" spans="1:12" ht="15.75" customHeight="1">
      <c r="A40" s="95" t="s">
        <v>319</v>
      </c>
      <c r="B40" s="352" t="s">
        <v>392</v>
      </c>
      <c r="C40" s="352"/>
      <c r="D40" s="352"/>
      <c r="E40" s="352"/>
      <c r="F40" s="352"/>
      <c r="G40" s="352"/>
      <c r="H40" s="97">
        <v>0.2</v>
      </c>
      <c r="I40" s="133">
        <f t="shared" ref="I40:I47" si="0">ROUND($I$38*H40,2)</f>
        <v>374.29</v>
      </c>
      <c r="J40" s="144" t="s">
        <v>393</v>
      </c>
      <c r="K40" s="145" t="s">
        <v>394</v>
      </c>
      <c r="L40" s="146"/>
    </row>
    <row r="41" spans="1:12" ht="15.75" customHeight="1">
      <c r="A41" s="95" t="s">
        <v>322</v>
      </c>
      <c r="B41" s="352" t="s">
        <v>395</v>
      </c>
      <c r="C41" s="352"/>
      <c r="D41" s="352"/>
      <c r="E41" s="352"/>
      <c r="F41" s="352"/>
      <c r="G41" s="352"/>
      <c r="H41" s="97">
        <v>2.5000000000000001E-2</v>
      </c>
      <c r="I41" s="133">
        <f t="shared" si="0"/>
        <v>46.79</v>
      </c>
      <c r="J41" s="130">
        <f t="shared" ref="J41:J47" si="1">$I$29*H41</f>
        <v>38.848999999999997</v>
      </c>
      <c r="K41" s="147" t="s">
        <v>394</v>
      </c>
      <c r="L41" s="148">
        <f>L8+L37</f>
        <v>3624.0624032000001</v>
      </c>
    </row>
    <row r="42" spans="1:12" ht="15.75" customHeight="1">
      <c r="A42" s="95" t="s">
        <v>326</v>
      </c>
      <c r="B42" s="352" t="s">
        <v>396</v>
      </c>
      <c r="C42" s="352"/>
      <c r="D42" s="352"/>
      <c r="E42" s="352"/>
      <c r="F42" s="352"/>
      <c r="G42" s="352"/>
      <c r="H42" s="402">
        <v>0.01</v>
      </c>
      <c r="I42" s="133">
        <f t="shared" si="0"/>
        <v>18.71</v>
      </c>
      <c r="J42" s="144" t="s">
        <v>393</v>
      </c>
      <c r="K42" s="109"/>
      <c r="L42" s="149"/>
    </row>
    <row r="43" spans="1:12" ht="15.75" customHeight="1">
      <c r="A43" s="95" t="s">
        <v>330</v>
      </c>
      <c r="B43" s="352" t="s">
        <v>397</v>
      </c>
      <c r="C43" s="352"/>
      <c r="D43" s="352"/>
      <c r="E43" s="352"/>
      <c r="F43" s="352"/>
      <c r="G43" s="352"/>
      <c r="H43" s="97">
        <v>1.4999999999999999E-2</v>
      </c>
      <c r="I43" s="133">
        <f t="shared" si="0"/>
        <v>28.07</v>
      </c>
      <c r="J43" s="130">
        <f t="shared" si="1"/>
        <v>23.3094</v>
      </c>
      <c r="K43" s="109"/>
      <c r="L43" s="149"/>
    </row>
    <row r="44" spans="1:12" ht="15.75" customHeight="1">
      <c r="A44" s="95" t="s">
        <v>372</v>
      </c>
      <c r="B44" s="352" t="s">
        <v>398</v>
      </c>
      <c r="C44" s="352"/>
      <c r="D44" s="352"/>
      <c r="E44" s="352"/>
      <c r="F44" s="352"/>
      <c r="G44" s="352"/>
      <c r="H44" s="97">
        <v>0.01</v>
      </c>
      <c r="I44" s="133">
        <f t="shared" si="0"/>
        <v>18.71</v>
      </c>
      <c r="J44" s="130">
        <f t="shared" si="1"/>
        <v>15.5396</v>
      </c>
      <c r="K44" s="109"/>
      <c r="L44" s="149"/>
    </row>
    <row r="45" spans="1:12" ht="15.75" customHeight="1">
      <c r="A45" s="95" t="s">
        <v>374</v>
      </c>
      <c r="B45" s="352" t="s">
        <v>399</v>
      </c>
      <c r="C45" s="352"/>
      <c r="D45" s="352"/>
      <c r="E45" s="352"/>
      <c r="F45" s="352"/>
      <c r="G45" s="352"/>
      <c r="H45" s="97">
        <v>6.0000000000000001E-3</v>
      </c>
      <c r="I45" s="133">
        <f t="shared" si="0"/>
        <v>11.23</v>
      </c>
      <c r="J45" s="130">
        <f t="shared" si="1"/>
        <v>9.32376</v>
      </c>
      <c r="K45" s="109"/>
      <c r="L45" s="149"/>
    </row>
    <row r="46" spans="1:12" ht="15.75" customHeight="1">
      <c r="A46" s="95" t="s">
        <v>400</v>
      </c>
      <c r="B46" s="352" t="s">
        <v>401</v>
      </c>
      <c r="C46" s="352"/>
      <c r="D46" s="352"/>
      <c r="E46" s="352"/>
      <c r="F46" s="352"/>
      <c r="G46" s="352"/>
      <c r="H46" s="97">
        <v>2E-3</v>
      </c>
      <c r="I46" s="133">
        <f t="shared" si="0"/>
        <v>3.74</v>
      </c>
      <c r="J46" s="130">
        <f t="shared" si="1"/>
        <v>3.10792</v>
      </c>
      <c r="K46" s="109"/>
      <c r="L46" s="149"/>
    </row>
    <row r="47" spans="1:12" ht="15.75" customHeight="1">
      <c r="A47" s="95" t="s">
        <v>402</v>
      </c>
      <c r="B47" s="352" t="s">
        <v>403</v>
      </c>
      <c r="C47" s="352"/>
      <c r="D47" s="352"/>
      <c r="E47" s="352"/>
      <c r="F47" s="352"/>
      <c r="G47" s="352"/>
      <c r="H47" s="97">
        <v>0.08</v>
      </c>
      <c r="I47" s="133">
        <f t="shared" si="0"/>
        <v>149.71</v>
      </c>
      <c r="J47" s="130">
        <f t="shared" si="1"/>
        <v>124.3168</v>
      </c>
      <c r="K47" s="360" t="s">
        <v>404</v>
      </c>
      <c r="L47" s="360"/>
    </row>
    <row r="48" spans="1:12" ht="15.75" customHeight="1">
      <c r="A48" s="351" t="s">
        <v>405</v>
      </c>
      <c r="B48" s="351"/>
      <c r="C48" s="351"/>
      <c r="D48" s="351"/>
      <c r="E48" s="351"/>
      <c r="F48" s="351"/>
      <c r="G48" s="351"/>
      <c r="H48" s="98">
        <f>SUM(H40:H47)</f>
        <v>0.34800000000000003</v>
      </c>
      <c r="I48" s="129">
        <f>SUM(I40:I47)</f>
        <v>651.25</v>
      </c>
      <c r="J48" s="137"/>
      <c r="K48" s="361" t="s">
        <v>406</v>
      </c>
      <c r="L48" s="361"/>
    </row>
    <row r="49" spans="1:12" ht="15.75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137"/>
      <c r="K49" s="150" t="s">
        <v>407</v>
      </c>
      <c r="L49" s="151">
        <v>1</v>
      </c>
    </row>
    <row r="50" spans="1:12" ht="15.75" customHeight="1">
      <c r="A50" s="351" t="s">
        <v>408</v>
      </c>
      <c r="B50" s="351"/>
      <c r="C50" s="351"/>
      <c r="D50" s="351"/>
      <c r="E50" s="351"/>
      <c r="F50" s="351"/>
      <c r="G50" s="351"/>
      <c r="H50" s="98"/>
      <c r="I50" s="96" t="s">
        <v>363</v>
      </c>
      <c r="J50" s="137"/>
      <c r="K50" s="367" t="s">
        <v>409</v>
      </c>
      <c r="L50" s="368">
        <f>L41</f>
        <v>3624.0624032000001</v>
      </c>
    </row>
    <row r="51" spans="1:12" ht="15.75" customHeight="1">
      <c r="A51" s="95" t="s">
        <v>319</v>
      </c>
      <c r="B51" s="357" t="s">
        <v>410</v>
      </c>
      <c r="C51" s="357"/>
      <c r="D51" s="357"/>
      <c r="E51" s="357"/>
      <c r="F51" s="357"/>
      <c r="G51" s="357"/>
      <c r="H51" s="99" t="s">
        <v>303</v>
      </c>
      <c r="I51" s="128">
        <v>0</v>
      </c>
      <c r="J51" s="130">
        <f t="shared" ref="J51:J54" si="2">I51</f>
        <v>0</v>
      </c>
      <c r="K51" s="367"/>
      <c r="L51" s="368"/>
    </row>
    <row r="52" spans="1:12" ht="15.75" customHeight="1">
      <c r="A52" s="95" t="s">
        <v>322</v>
      </c>
      <c r="B52" s="357" t="s">
        <v>411</v>
      </c>
      <c r="C52" s="357"/>
      <c r="D52" s="357"/>
      <c r="E52" s="357"/>
      <c r="F52" s="357"/>
      <c r="G52" s="357"/>
      <c r="H52" s="63" t="s">
        <v>303</v>
      </c>
      <c r="I52" s="128">
        <v>473.82</v>
      </c>
      <c r="J52" s="130">
        <f t="shared" si="2"/>
        <v>473.82</v>
      </c>
      <c r="K52" s="367"/>
      <c r="L52" s="368"/>
    </row>
    <row r="53" spans="1:12" ht="15.75" customHeight="1">
      <c r="A53" s="95" t="s">
        <v>326</v>
      </c>
      <c r="B53" s="357" t="s">
        <v>412</v>
      </c>
      <c r="C53" s="357"/>
      <c r="D53" s="357"/>
      <c r="E53" s="357"/>
      <c r="F53" s="357"/>
      <c r="G53" s="357"/>
      <c r="H53" s="63" t="s">
        <v>303</v>
      </c>
      <c r="I53" s="128">
        <f>(52.15+78.22)*0.4</f>
        <v>52.148000000000003</v>
      </c>
      <c r="J53" s="130">
        <f t="shared" si="2"/>
        <v>52.148000000000003</v>
      </c>
      <c r="K53" s="153" t="s">
        <v>413</v>
      </c>
      <c r="L53" s="152">
        <f>I139</f>
        <v>3938.9279999999999</v>
      </c>
    </row>
    <row r="54" spans="1:12" ht="15.75" customHeight="1">
      <c r="A54" s="95" t="s">
        <v>330</v>
      </c>
      <c r="B54" s="357" t="s">
        <v>414</v>
      </c>
      <c r="C54" s="357"/>
      <c r="D54" s="357"/>
      <c r="E54" s="357"/>
      <c r="F54" s="357"/>
      <c r="G54" s="357"/>
      <c r="H54" s="63" t="s">
        <v>303</v>
      </c>
      <c r="I54" s="128">
        <f>ROUND((I23*26)*0.002/12,2)</f>
        <v>6.73</v>
      </c>
      <c r="J54" s="130">
        <f t="shared" si="2"/>
        <v>6.73</v>
      </c>
      <c r="K54" s="154" t="s">
        <v>415</v>
      </c>
      <c r="L54" s="155">
        <f>L41</f>
        <v>3624.0624032000001</v>
      </c>
    </row>
    <row r="55" spans="1:12" ht="15.75" customHeight="1">
      <c r="A55" s="351" t="s">
        <v>416</v>
      </c>
      <c r="B55" s="351"/>
      <c r="C55" s="351"/>
      <c r="D55" s="351"/>
      <c r="E55" s="351"/>
      <c r="F55" s="351"/>
      <c r="G55" s="351"/>
      <c r="H55" s="351"/>
      <c r="I55" s="129">
        <f>SUM(I51:I54)</f>
        <v>532.69799999999998</v>
      </c>
      <c r="J55" s="134"/>
      <c r="K55" s="156" t="s">
        <v>417</v>
      </c>
      <c r="L55" s="157">
        <f>L53-L54</f>
        <v>314.86559679999982</v>
      </c>
    </row>
    <row r="56" spans="1:12" ht="15.75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134"/>
      <c r="K56" s="158" t="s">
        <v>418</v>
      </c>
      <c r="L56" s="159">
        <f>SUM(I68:I71,I96,I104,I113)</f>
        <v>383.34000000000003</v>
      </c>
    </row>
    <row r="57" spans="1:12" ht="15.75" customHeight="1">
      <c r="A57" s="351" t="s">
        <v>419</v>
      </c>
      <c r="B57" s="351"/>
      <c r="C57" s="351"/>
      <c r="D57" s="351"/>
      <c r="E57" s="351"/>
      <c r="F57" s="351"/>
      <c r="G57" s="351"/>
      <c r="H57" s="351"/>
      <c r="I57" s="351"/>
      <c r="J57" s="134"/>
      <c r="K57" s="158" t="s">
        <v>420</v>
      </c>
      <c r="L57" s="160">
        <f>L55-L56</f>
        <v>-68.474403200000211</v>
      </c>
    </row>
    <row r="58" spans="1:12" ht="15.75" customHeight="1">
      <c r="A58" s="351" t="s">
        <v>421</v>
      </c>
      <c r="B58" s="351"/>
      <c r="C58" s="351"/>
      <c r="D58" s="351"/>
      <c r="E58" s="351"/>
      <c r="F58" s="351"/>
      <c r="G58" s="351"/>
      <c r="H58" s="351"/>
      <c r="I58" s="96" t="s">
        <v>363</v>
      </c>
      <c r="J58" s="134"/>
      <c r="K58" s="161" t="s">
        <v>422</v>
      </c>
      <c r="L58" s="162">
        <f>ROUND(L57*L49,2)</f>
        <v>-68.47</v>
      </c>
    </row>
    <row r="59" spans="1:12" ht="15.75" customHeight="1">
      <c r="A59" s="95" t="s">
        <v>215</v>
      </c>
      <c r="B59" s="352" t="s">
        <v>423</v>
      </c>
      <c r="C59" s="352"/>
      <c r="D59" s="352"/>
      <c r="E59" s="352"/>
      <c r="F59" s="352"/>
      <c r="G59" s="352"/>
      <c r="H59" s="352"/>
      <c r="I59" s="133">
        <f>I35</f>
        <v>317.47000000000003</v>
      </c>
      <c r="J59" s="134"/>
      <c r="K59" s="161" t="s">
        <v>424</v>
      </c>
      <c r="L59" s="162">
        <f>ROUND((L57*12)*L49,2)</f>
        <v>-821.69</v>
      </c>
    </row>
    <row r="60" spans="1:12" ht="15.75" customHeight="1">
      <c r="A60" s="95" t="s">
        <v>245</v>
      </c>
      <c r="B60" s="352" t="s">
        <v>425</v>
      </c>
      <c r="C60" s="352"/>
      <c r="D60" s="352"/>
      <c r="E60" s="352"/>
      <c r="F60" s="352"/>
      <c r="G60" s="352"/>
      <c r="H60" s="352"/>
      <c r="I60" s="133">
        <f>I48</f>
        <v>651.25</v>
      </c>
      <c r="J60" s="134"/>
      <c r="K60" s="372" t="s">
        <v>426</v>
      </c>
      <c r="L60" s="372"/>
    </row>
    <row r="61" spans="1:12" ht="15.75" customHeight="1">
      <c r="A61" s="95" t="s">
        <v>257</v>
      </c>
      <c r="B61" s="352" t="s">
        <v>427</v>
      </c>
      <c r="C61" s="352"/>
      <c r="D61" s="352"/>
      <c r="E61" s="352"/>
      <c r="F61" s="352"/>
      <c r="G61" s="352"/>
      <c r="H61" s="352"/>
      <c r="I61" s="133">
        <f>I55</f>
        <v>532.69799999999998</v>
      </c>
      <c r="J61" s="134"/>
      <c r="K61" s="372"/>
      <c r="L61" s="372"/>
    </row>
    <row r="62" spans="1:12" ht="15.75" customHeight="1">
      <c r="A62" s="351" t="s">
        <v>428</v>
      </c>
      <c r="B62" s="351"/>
      <c r="C62" s="351"/>
      <c r="D62" s="351"/>
      <c r="E62" s="351"/>
      <c r="F62" s="351"/>
      <c r="G62" s="351"/>
      <c r="H62" s="351"/>
      <c r="I62" s="129">
        <f>SUM(I59:I61)</f>
        <v>1501.4180000000001</v>
      </c>
      <c r="J62" s="134"/>
      <c r="K62" s="372"/>
      <c r="L62" s="372"/>
    </row>
    <row r="63" spans="1:12" ht="15.75" customHeight="1">
      <c r="A63" s="370" t="s">
        <v>429</v>
      </c>
      <c r="B63" s="370"/>
      <c r="C63" s="370"/>
      <c r="D63" s="370"/>
      <c r="E63" s="370"/>
      <c r="F63" s="370"/>
      <c r="G63" s="358" t="s">
        <v>386</v>
      </c>
      <c r="H63" s="358"/>
      <c r="I63" s="135">
        <f>I29</f>
        <v>1553.96</v>
      </c>
      <c r="J63" s="134"/>
      <c r="K63" s="372"/>
      <c r="L63" s="372"/>
    </row>
    <row r="64" spans="1:12" ht="15.75" customHeight="1">
      <c r="A64" s="370"/>
      <c r="B64" s="370"/>
      <c r="C64" s="370"/>
      <c r="D64" s="370"/>
      <c r="E64" s="370"/>
      <c r="F64" s="370"/>
      <c r="G64" s="358" t="s">
        <v>430</v>
      </c>
      <c r="H64" s="358"/>
      <c r="I64" s="135">
        <f>I62</f>
        <v>1501.4180000000001</v>
      </c>
      <c r="J64" s="134"/>
      <c r="K64" s="372"/>
      <c r="L64" s="372"/>
    </row>
    <row r="65" spans="1:12" ht="15.75" customHeight="1">
      <c r="A65" s="370"/>
      <c r="B65" s="370"/>
      <c r="C65" s="370"/>
      <c r="D65" s="370"/>
      <c r="E65" s="370"/>
      <c r="F65" s="370"/>
      <c r="G65" s="359" t="s">
        <v>389</v>
      </c>
      <c r="H65" s="359"/>
      <c r="I65" s="140">
        <f>SUM(I63:I64)</f>
        <v>3055.3780000000002</v>
      </c>
      <c r="J65" s="134"/>
      <c r="K65" s="372"/>
      <c r="L65" s="372"/>
    </row>
    <row r="66" spans="1:12" ht="27.75" customHeight="1">
      <c r="A66" s="351" t="s">
        <v>431</v>
      </c>
      <c r="B66" s="351"/>
      <c r="C66" s="351"/>
      <c r="D66" s="351"/>
      <c r="E66" s="351"/>
      <c r="F66" s="351"/>
      <c r="G66" s="351"/>
      <c r="H66" s="351"/>
      <c r="I66" s="351"/>
      <c r="J66" s="134"/>
      <c r="K66" s="372"/>
      <c r="L66" s="372"/>
    </row>
    <row r="67" spans="1:12" ht="15.75" customHeight="1">
      <c r="A67" s="95">
        <v>3</v>
      </c>
      <c r="B67" s="351" t="s">
        <v>432</v>
      </c>
      <c r="C67" s="351"/>
      <c r="D67" s="351"/>
      <c r="E67" s="351"/>
      <c r="F67" s="351"/>
      <c r="G67" s="351"/>
      <c r="H67" s="96" t="s">
        <v>362</v>
      </c>
      <c r="I67" s="96" t="s">
        <v>363</v>
      </c>
      <c r="J67" s="134"/>
      <c r="K67" s="372"/>
      <c r="L67" s="372"/>
    </row>
    <row r="68" spans="1:12" ht="15.75" customHeight="1">
      <c r="A68" s="95" t="s">
        <v>319</v>
      </c>
      <c r="B68" s="352" t="s">
        <v>433</v>
      </c>
      <c r="C68" s="352"/>
      <c r="D68" s="352"/>
      <c r="E68" s="352"/>
      <c r="F68" s="352"/>
      <c r="G68" s="352"/>
      <c r="H68" s="97">
        <f>ROUND(((1/12)*5%),4)</f>
        <v>4.1999999999999997E-3</v>
      </c>
      <c r="I68" s="133">
        <f>ROUND(H68*$I$65,2)</f>
        <v>12.83</v>
      </c>
      <c r="J68" s="134"/>
      <c r="K68" s="372"/>
      <c r="L68" s="372"/>
    </row>
    <row r="69" spans="1:12" ht="15.75" customHeight="1">
      <c r="A69" s="95" t="s">
        <v>322</v>
      </c>
      <c r="B69" s="352" t="s">
        <v>434</v>
      </c>
      <c r="C69" s="352"/>
      <c r="D69" s="352"/>
      <c r="E69" s="352"/>
      <c r="F69" s="352"/>
      <c r="G69" s="352"/>
      <c r="H69" s="97">
        <f>TRUNC(H68*H47,4)</f>
        <v>2.9999999999999997E-4</v>
      </c>
      <c r="I69" s="133">
        <f>ROUND(H69*$I$65,2)</f>
        <v>0.92</v>
      </c>
      <c r="J69" s="134"/>
      <c r="K69" s="372"/>
      <c r="L69" s="372"/>
    </row>
    <row r="70" spans="1:12" ht="15.75" customHeight="1">
      <c r="A70" s="95" t="s">
        <v>326</v>
      </c>
      <c r="B70" s="352" t="s">
        <v>435</v>
      </c>
      <c r="C70" s="352"/>
      <c r="D70" s="352"/>
      <c r="E70" s="352"/>
      <c r="F70" s="352"/>
      <c r="G70" s="352"/>
      <c r="H70" s="97">
        <f>ROUND(((7/30)/12)*95%,4)</f>
        <v>1.8499999999999999E-2</v>
      </c>
      <c r="I70" s="133">
        <f>ROUND(H70*$I$65,2)</f>
        <v>56.52</v>
      </c>
      <c r="J70" s="134"/>
      <c r="K70" s="109"/>
      <c r="L70" s="109"/>
    </row>
    <row r="71" spans="1:12" ht="15.75" customHeight="1">
      <c r="A71" s="95" t="s">
        <v>330</v>
      </c>
      <c r="B71" s="363" t="s">
        <v>436</v>
      </c>
      <c r="C71" s="363"/>
      <c r="D71" s="363"/>
      <c r="E71" s="363"/>
      <c r="F71" s="363"/>
      <c r="G71" s="363"/>
      <c r="H71" s="97">
        <f>ROUND(H70*H48,4)</f>
        <v>6.4000000000000003E-3</v>
      </c>
      <c r="I71" s="133">
        <f>ROUND(H71*$I$65,2)</f>
        <v>19.55</v>
      </c>
      <c r="J71" s="134"/>
      <c r="K71" s="109"/>
      <c r="L71" s="109"/>
    </row>
    <row r="72" spans="1:12" ht="15.75" customHeight="1">
      <c r="A72" s="95" t="s">
        <v>372</v>
      </c>
      <c r="B72" s="352" t="s">
        <v>437</v>
      </c>
      <c r="C72" s="352"/>
      <c r="D72" s="352"/>
      <c r="E72" s="352"/>
      <c r="F72" s="352"/>
      <c r="G72" s="352"/>
      <c r="H72" s="97">
        <v>0.04</v>
      </c>
      <c r="I72" s="133">
        <f>ROUND(H72*$I$65,2)</f>
        <v>122.22</v>
      </c>
      <c r="J72" s="130">
        <f>I72</f>
        <v>122.22</v>
      </c>
      <c r="K72" s="109"/>
      <c r="L72" s="109"/>
    </row>
    <row r="73" spans="1:12" ht="15.75" customHeight="1">
      <c r="A73" s="351" t="s">
        <v>438</v>
      </c>
      <c r="B73" s="351"/>
      <c r="C73" s="351"/>
      <c r="D73" s="351"/>
      <c r="E73" s="351"/>
      <c r="F73" s="351"/>
      <c r="G73" s="351"/>
      <c r="H73" s="98">
        <f>SUM(H68:H72)</f>
        <v>6.9400000000000003E-2</v>
      </c>
      <c r="I73" s="129">
        <f>SUM(I68:I72)</f>
        <v>212.04000000000002</v>
      </c>
      <c r="J73" s="134"/>
      <c r="K73" s="179"/>
      <c r="L73" s="109"/>
    </row>
    <row r="74" spans="1:12" ht="15.75" customHeight="1">
      <c r="A74" s="371" t="s">
        <v>439</v>
      </c>
      <c r="B74" s="371"/>
      <c r="C74" s="371"/>
      <c r="D74" s="371"/>
      <c r="E74" s="371"/>
      <c r="F74" s="371"/>
      <c r="G74" s="358" t="s">
        <v>386</v>
      </c>
      <c r="H74" s="358"/>
      <c r="I74" s="135">
        <f>I29</f>
        <v>1553.96</v>
      </c>
      <c r="J74" s="134"/>
      <c r="K74" s="179"/>
      <c r="L74" s="109"/>
    </row>
    <row r="75" spans="1:12" ht="15.75" customHeight="1">
      <c r="A75" s="371"/>
      <c r="B75" s="371"/>
      <c r="C75" s="371"/>
      <c r="D75" s="371"/>
      <c r="E75" s="371"/>
      <c r="F75" s="371"/>
      <c r="G75" s="358" t="s">
        <v>430</v>
      </c>
      <c r="H75" s="358"/>
      <c r="I75" s="135">
        <f>I62</f>
        <v>1501.4180000000001</v>
      </c>
      <c r="J75" s="134"/>
      <c r="K75" s="179"/>
      <c r="L75" s="109"/>
    </row>
    <row r="76" spans="1:12" ht="15.75" customHeight="1">
      <c r="A76" s="371"/>
      <c r="B76" s="371"/>
      <c r="C76" s="371"/>
      <c r="D76" s="371"/>
      <c r="E76" s="371"/>
      <c r="F76" s="371"/>
      <c r="G76" s="358" t="s">
        <v>440</v>
      </c>
      <c r="H76" s="358"/>
      <c r="I76" s="135">
        <f>I73</f>
        <v>212.04000000000002</v>
      </c>
      <c r="J76" s="134"/>
      <c r="K76" s="179"/>
      <c r="L76" s="109"/>
    </row>
    <row r="77" spans="1:12" ht="15.75" customHeight="1">
      <c r="A77" s="371"/>
      <c r="B77" s="371"/>
      <c r="C77" s="371"/>
      <c r="D77" s="371"/>
      <c r="E77" s="371"/>
      <c r="F77" s="371"/>
      <c r="G77" s="359" t="s">
        <v>389</v>
      </c>
      <c r="H77" s="359"/>
      <c r="I77" s="140">
        <f>SUM(I74:I76)</f>
        <v>3267.4180000000001</v>
      </c>
      <c r="J77" s="134"/>
      <c r="K77" s="179"/>
      <c r="L77" s="109"/>
    </row>
    <row r="78" spans="1:12" ht="15.75" customHeight="1">
      <c r="A78" s="351" t="s">
        <v>441</v>
      </c>
      <c r="B78" s="351"/>
      <c r="C78" s="351"/>
      <c r="D78" s="351"/>
      <c r="E78" s="351"/>
      <c r="F78" s="351"/>
      <c r="G78" s="351"/>
      <c r="H78" s="351"/>
      <c r="I78" s="351"/>
      <c r="J78" s="131"/>
      <c r="K78" s="179"/>
      <c r="L78" s="109"/>
    </row>
    <row r="79" spans="1:12" ht="15.75" customHeight="1">
      <c r="A79" s="351" t="s">
        <v>442</v>
      </c>
      <c r="B79" s="351"/>
      <c r="C79" s="351"/>
      <c r="D79" s="351"/>
      <c r="E79" s="351"/>
      <c r="F79" s="351"/>
      <c r="G79" s="351"/>
      <c r="H79" s="96" t="s">
        <v>362</v>
      </c>
      <c r="I79" s="96" t="s">
        <v>363</v>
      </c>
      <c r="J79" s="134"/>
      <c r="K79" s="179"/>
      <c r="L79" s="180"/>
    </row>
    <row r="80" spans="1:12" ht="15.75" customHeight="1">
      <c r="A80" s="95" t="s">
        <v>319</v>
      </c>
      <c r="B80" s="352" t="s">
        <v>443</v>
      </c>
      <c r="C80" s="352"/>
      <c r="D80" s="352"/>
      <c r="E80" s="352"/>
      <c r="F80" s="352"/>
      <c r="G80" s="352"/>
      <c r="H80" s="97">
        <f>ROUND(((1+1/3)/12)/12,4)</f>
        <v>9.2999999999999992E-3</v>
      </c>
      <c r="I80" s="133">
        <f t="shared" ref="I80:I85" si="3">ROUND(H80*$I$77,2)</f>
        <v>30.39</v>
      </c>
      <c r="J80" s="134"/>
      <c r="K80" s="179"/>
      <c r="L80" s="109"/>
    </row>
    <row r="81" spans="1:12" ht="15.75" customHeight="1">
      <c r="A81" s="95" t="s">
        <v>322</v>
      </c>
      <c r="B81" s="352" t="s">
        <v>444</v>
      </c>
      <c r="C81" s="352"/>
      <c r="D81" s="352"/>
      <c r="E81" s="352"/>
      <c r="F81" s="352"/>
      <c r="G81" s="352"/>
      <c r="H81" s="97">
        <f>ROUND(2/30/12,4)</f>
        <v>5.5999999999999999E-3</v>
      </c>
      <c r="I81" s="133">
        <f t="shared" si="3"/>
        <v>18.3</v>
      </c>
      <c r="J81" s="134"/>
      <c r="K81" s="109"/>
      <c r="L81" s="109"/>
    </row>
    <row r="82" spans="1:12" ht="15.75" customHeight="1">
      <c r="A82" s="95" t="s">
        <v>326</v>
      </c>
      <c r="B82" s="352" t="s">
        <v>445</v>
      </c>
      <c r="C82" s="352"/>
      <c r="D82" s="352"/>
      <c r="E82" s="352"/>
      <c r="F82" s="352"/>
      <c r="G82" s="352"/>
      <c r="H82" s="97">
        <f>ROUND(((5/30)/12)*2%,4)</f>
        <v>2.9999999999999997E-4</v>
      </c>
      <c r="I82" s="133">
        <f t="shared" si="3"/>
        <v>0.98</v>
      </c>
      <c r="J82" s="134"/>
      <c r="K82" s="109"/>
      <c r="L82" s="109"/>
    </row>
    <row r="83" spans="1:12" ht="15.75" customHeight="1">
      <c r="A83" s="95" t="s">
        <v>330</v>
      </c>
      <c r="B83" s="352" t="s">
        <v>446</v>
      </c>
      <c r="C83" s="352"/>
      <c r="D83" s="352"/>
      <c r="E83" s="352"/>
      <c r="F83" s="352"/>
      <c r="G83" s="352"/>
      <c r="H83" s="97">
        <f>ROUND(((15/30)/12)*8%,4)</f>
        <v>3.3E-3</v>
      </c>
      <c r="I83" s="133">
        <f t="shared" si="3"/>
        <v>10.78</v>
      </c>
      <c r="J83" s="134"/>
      <c r="K83" s="109"/>
      <c r="L83" s="109"/>
    </row>
    <row r="84" spans="1:12" ht="15.75" customHeight="1">
      <c r="A84" s="95" t="s">
        <v>372</v>
      </c>
      <c r="B84" s="352" t="s">
        <v>447</v>
      </c>
      <c r="C84" s="352"/>
      <c r="D84" s="352"/>
      <c r="E84" s="352"/>
      <c r="F84" s="352"/>
      <c r="G84" s="352"/>
      <c r="H84" s="97">
        <f>ROUND(((1+1/3)/12*4/12)*2%,4)</f>
        <v>6.9999999999999999E-4</v>
      </c>
      <c r="I84" s="133">
        <f t="shared" si="3"/>
        <v>2.29</v>
      </c>
      <c r="J84" s="134"/>
      <c r="K84" s="109"/>
      <c r="L84" s="109"/>
    </row>
    <row r="85" spans="1:12" ht="15.75" customHeight="1">
      <c r="A85" s="95" t="s">
        <v>374</v>
      </c>
      <c r="B85" s="352" t="s">
        <v>448</v>
      </c>
      <c r="C85" s="352"/>
      <c r="D85" s="352"/>
      <c r="E85" s="352"/>
      <c r="F85" s="352"/>
      <c r="G85" s="352"/>
      <c r="H85" s="97">
        <v>0</v>
      </c>
      <c r="I85" s="133">
        <f t="shared" si="3"/>
        <v>0</v>
      </c>
      <c r="J85" s="134"/>
      <c r="K85" s="109"/>
      <c r="L85" s="109"/>
    </row>
    <row r="86" spans="1:12" ht="15.75" customHeight="1">
      <c r="A86" s="351" t="s">
        <v>449</v>
      </c>
      <c r="B86" s="351"/>
      <c r="C86" s="351"/>
      <c r="D86" s="351"/>
      <c r="E86" s="351"/>
      <c r="F86" s="351"/>
      <c r="G86" s="351"/>
      <c r="H86" s="98">
        <f>SUM(H80:H85)</f>
        <v>1.9199999999999998E-2</v>
      </c>
      <c r="I86" s="129">
        <f>SUM(I80:I85)</f>
        <v>62.739999999999995</v>
      </c>
      <c r="J86" s="134"/>
      <c r="K86" s="109"/>
      <c r="L86" s="181"/>
    </row>
    <row r="87" spans="1:12" ht="15.75" customHeight="1">
      <c r="A87" s="362"/>
      <c r="B87" s="362"/>
      <c r="C87" s="362"/>
      <c r="D87" s="362"/>
      <c r="E87" s="362"/>
      <c r="F87" s="362"/>
      <c r="G87" s="362"/>
      <c r="H87" s="362"/>
      <c r="I87" s="362"/>
      <c r="J87" s="134"/>
      <c r="K87" s="182"/>
      <c r="L87" s="109"/>
    </row>
    <row r="88" spans="1:12" ht="15.75" customHeight="1">
      <c r="A88" s="351" t="s">
        <v>450</v>
      </c>
      <c r="B88" s="351"/>
      <c r="C88" s="351"/>
      <c r="D88" s="351"/>
      <c r="E88" s="351"/>
      <c r="F88" s="351"/>
      <c r="G88" s="351"/>
      <c r="H88" s="96" t="s">
        <v>362</v>
      </c>
      <c r="I88" s="96" t="s">
        <v>363</v>
      </c>
      <c r="J88" s="134"/>
      <c r="K88" s="109"/>
      <c r="L88" s="109"/>
    </row>
    <row r="89" spans="1:12" ht="15.75" customHeight="1">
      <c r="A89" s="95" t="s">
        <v>319</v>
      </c>
      <c r="B89" s="352" t="s">
        <v>451</v>
      </c>
      <c r="C89" s="352"/>
      <c r="D89" s="352"/>
      <c r="E89" s="352"/>
      <c r="F89" s="352"/>
      <c r="G89" s="352"/>
      <c r="H89" s="97">
        <v>0</v>
      </c>
      <c r="I89" s="133">
        <f>I29*H89</f>
        <v>0</v>
      </c>
      <c r="J89" s="134"/>
      <c r="K89" s="109"/>
      <c r="L89" s="109"/>
    </row>
    <row r="90" spans="1:12" ht="15.75" customHeight="1">
      <c r="A90" s="351" t="s">
        <v>452</v>
      </c>
      <c r="B90" s="351"/>
      <c r="C90" s="351"/>
      <c r="D90" s="351"/>
      <c r="E90" s="351"/>
      <c r="F90" s="351"/>
      <c r="G90" s="351"/>
      <c r="H90" s="98">
        <f>H89</f>
        <v>0</v>
      </c>
      <c r="I90" s="129">
        <f>I89</f>
        <v>0</v>
      </c>
      <c r="J90" s="134"/>
      <c r="K90" s="183"/>
      <c r="L90" s="109"/>
    </row>
    <row r="91" spans="1:12" ht="15.75" customHeight="1">
      <c r="A91" s="362"/>
      <c r="B91" s="362"/>
      <c r="C91" s="362"/>
      <c r="D91" s="362"/>
      <c r="E91" s="362"/>
      <c r="F91" s="362"/>
      <c r="G91" s="362"/>
      <c r="H91" s="362"/>
      <c r="I91" s="362"/>
      <c r="J91" s="134"/>
      <c r="K91" s="109"/>
      <c r="L91" s="109"/>
    </row>
    <row r="92" spans="1:12" ht="15.75" customHeight="1">
      <c r="A92" s="351" t="s">
        <v>453</v>
      </c>
      <c r="B92" s="351"/>
      <c r="C92" s="351"/>
      <c r="D92" s="351"/>
      <c r="E92" s="351"/>
      <c r="F92" s="351"/>
      <c r="G92" s="351"/>
      <c r="H92" s="351"/>
      <c r="I92" s="351"/>
      <c r="J92" s="134"/>
      <c r="K92" s="109"/>
      <c r="L92" s="109"/>
    </row>
    <row r="93" spans="1:12" ht="15.75" customHeight="1">
      <c r="A93" s="351" t="s">
        <v>454</v>
      </c>
      <c r="B93" s="351"/>
      <c r="C93" s="351"/>
      <c r="D93" s="351"/>
      <c r="E93" s="351"/>
      <c r="F93" s="351"/>
      <c r="G93" s="351"/>
      <c r="H93" s="351"/>
      <c r="I93" s="96" t="s">
        <v>363</v>
      </c>
      <c r="J93" s="134"/>
      <c r="K93" s="109"/>
      <c r="L93" s="109"/>
    </row>
    <row r="94" spans="1:12" ht="15.75" customHeight="1">
      <c r="A94" s="95" t="s">
        <v>455</v>
      </c>
      <c r="B94" s="352" t="s">
        <v>456</v>
      </c>
      <c r="C94" s="352"/>
      <c r="D94" s="352"/>
      <c r="E94" s="352"/>
      <c r="F94" s="352"/>
      <c r="G94" s="352"/>
      <c r="H94" s="352"/>
      <c r="I94" s="133">
        <f>I86</f>
        <v>62.739999999999995</v>
      </c>
      <c r="J94" s="134"/>
      <c r="K94" s="109"/>
      <c r="L94" s="109"/>
    </row>
    <row r="95" spans="1:12" ht="15.75" customHeight="1">
      <c r="A95" s="95" t="s">
        <v>457</v>
      </c>
      <c r="B95" s="352" t="s">
        <v>458</v>
      </c>
      <c r="C95" s="352"/>
      <c r="D95" s="352"/>
      <c r="E95" s="352"/>
      <c r="F95" s="352"/>
      <c r="G95" s="352"/>
      <c r="H95" s="352"/>
      <c r="I95" s="133">
        <f>I90</f>
        <v>0</v>
      </c>
      <c r="J95" s="134"/>
      <c r="K95" s="109"/>
      <c r="L95" s="109"/>
    </row>
    <row r="96" spans="1:12" ht="15.75" customHeight="1">
      <c r="A96" s="351" t="s">
        <v>459</v>
      </c>
      <c r="B96" s="351"/>
      <c r="C96" s="351"/>
      <c r="D96" s="351"/>
      <c r="E96" s="351"/>
      <c r="F96" s="351"/>
      <c r="G96" s="351"/>
      <c r="H96" s="351"/>
      <c r="I96" s="129">
        <f>SUM(I94:I95)</f>
        <v>62.739999999999995</v>
      </c>
      <c r="J96" s="134"/>
      <c r="K96" s="109"/>
      <c r="L96" s="109"/>
    </row>
    <row r="97" spans="1:12" ht="15.75" customHeight="1">
      <c r="A97" s="362"/>
      <c r="B97" s="362"/>
      <c r="C97" s="362"/>
      <c r="D97" s="362"/>
      <c r="E97" s="362"/>
      <c r="F97" s="362"/>
      <c r="G97" s="362"/>
      <c r="H97" s="362"/>
      <c r="I97" s="362"/>
      <c r="J97" s="134"/>
      <c r="K97" s="109"/>
      <c r="L97" s="109"/>
    </row>
    <row r="98" spans="1:12" ht="15.75" customHeight="1">
      <c r="A98" s="351" t="s">
        <v>460</v>
      </c>
      <c r="B98" s="351"/>
      <c r="C98" s="351"/>
      <c r="D98" s="351"/>
      <c r="E98" s="351"/>
      <c r="F98" s="351"/>
      <c r="G98" s="351"/>
      <c r="H98" s="351"/>
      <c r="I98" s="351"/>
      <c r="J98" s="134"/>
      <c r="K98" s="109"/>
      <c r="L98" s="109"/>
    </row>
    <row r="99" spans="1:12" ht="15.75" customHeight="1">
      <c r="A99" s="96">
        <v>5</v>
      </c>
      <c r="B99" s="351" t="s">
        <v>461</v>
      </c>
      <c r="C99" s="351"/>
      <c r="D99" s="351"/>
      <c r="E99" s="351"/>
      <c r="F99" s="351"/>
      <c r="G99" s="351"/>
      <c r="H99" s="96"/>
      <c r="I99" s="96" t="s">
        <v>363</v>
      </c>
      <c r="J99" s="134"/>
      <c r="K99" s="109"/>
      <c r="L99" s="109"/>
    </row>
    <row r="100" spans="1:12" ht="15.75" customHeight="1">
      <c r="A100" s="163" t="s">
        <v>319</v>
      </c>
      <c r="B100" s="357" t="s">
        <v>462</v>
      </c>
      <c r="C100" s="357"/>
      <c r="D100" s="357"/>
      <c r="E100" s="357"/>
      <c r="F100" s="357"/>
      <c r="G100" s="357"/>
      <c r="H100" s="164" t="s">
        <v>303</v>
      </c>
      <c r="I100" s="403">
        <v>47.66</v>
      </c>
      <c r="J100" s="134"/>
      <c r="K100" s="109"/>
      <c r="L100" s="109"/>
    </row>
    <row r="101" spans="1:12" ht="15.75" customHeight="1">
      <c r="A101" s="163" t="s">
        <v>322</v>
      </c>
      <c r="B101" s="357" t="s">
        <v>463</v>
      </c>
      <c r="C101" s="357"/>
      <c r="D101" s="357"/>
      <c r="E101" s="357"/>
      <c r="F101" s="357"/>
      <c r="G101" s="357"/>
      <c r="H101" s="164" t="s">
        <v>303</v>
      </c>
      <c r="I101" s="403">
        <v>29.7</v>
      </c>
      <c r="J101" s="134"/>
      <c r="K101" s="109"/>
      <c r="L101" s="109"/>
    </row>
    <row r="102" spans="1:12" ht="15.75" customHeight="1">
      <c r="A102" s="163" t="s">
        <v>326</v>
      </c>
      <c r="B102" s="357" t="s">
        <v>464</v>
      </c>
      <c r="C102" s="357"/>
      <c r="D102" s="357"/>
      <c r="E102" s="357"/>
      <c r="F102" s="357"/>
      <c r="G102" s="357"/>
      <c r="H102" s="164" t="s">
        <v>303</v>
      </c>
      <c r="I102" s="403">
        <v>47.17</v>
      </c>
      <c r="J102" s="134"/>
      <c r="K102" s="109"/>
      <c r="L102" s="109"/>
    </row>
    <row r="103" spans="1:12" ht="15.75" customHeight="1">
      <c r="A103" s="163" t="s">
        <v>330</v>
      </c>
      <c r="B103" s="357" t="s">
        <v>465</v>
      </c>
      <c r="C103" s="357"/>
      <c r="D103" s="357"/>
      <c r="E103" s="357"/>
      <c r="F103" s="357"/>
      <c r="G103" s="357"/>
      <c r="H103" s="165" t="s">
        <v>303</v>
      </c>
      <c r="I103" s="403">
        <v>53.63</v>
      </c>
      <c r="J103" s="134"/>
      <c r="K103" s="109"/>
      <c r="L103" s="109"/>
    </row>
    <row r="104" spans="1:12" ht="15.75" customHeight="1">
      <c r="A104" s="351" t="s">
        <v>466</v>
      </c>
      <c r="B104" s="351"/>
      <c r="C104" s="351"/>
      <c r="D104" s="351"/>
      <c r="E104" s="351"/>
      <c r="F104" s="351"/>
      <c r="G104" s="351"/>
      <c r="H104" s="98" t="s">
        <v>303</v>
      </c>
      <c r="I104" s="129">
        <f>SUM(I100:I103)</f>
        <v>178.16</v>
      </c>
      <c r="J104" s="134"/>
      <c r="K104" s="109"/>
      <c r="L104" s="109"/>
    </row>
    <row r="105" spans="1:12" ht="15.75" customHeight="1">
      <c r="A105" s="371" t="s">
        <v>467</v>
      </c>
      <c r="B105" s="371"/>
      <c r="C105" s="371"/>
      <c r="D105" s="371"/>
      <c r="E105" s="371"/>
      <c r="F105" s="371"/>
      <c r="G105" s="358" t="s">
        <v>386</v>
      </c>
      <c r="H105" s="358"/>
      <c r="I105" s="135">
        <f>I29</f>
        <v>1553.96</v>
      </c>
      <c r="J105" s="134"/>
      <c r="K105" s="109"/>
      <c r="L105" s="109"/>
    </row>
    <row r="106" spans="1:12" ht="15.75" customHeight="1">
      <c r="A106" s="371"/>
      <c r="B106" s="371"/>
      <c r="C106" s="371"/>
      <c r="D106" s="371"/>
      <c r="E106" s="371"/>
      <c r="F106" s="371"/>
      <c r="G106" s="358" t="s">
        <v>430</v>
      </c>
      <c r="H106" s="358"/>
      <c r="I106" s="135">
        <f>I62</f>
        <v>1501.4180000000001</v>
      </c>
      <c r="J106" s="134"/>
      <c r="K106" s="109"/>
      <c r="L106" s="109"/>
    </row>
    <row r="107" spans="1:12" ht="15.75" customHeight="1">
      <c r="A107" s="371"/>
      <c r="B107" s="371"/>
      <c r="C107" s="371"/>
      <c r="D107" s="371"/>
      <c r="E107" s="371"/>
      <c r="F107" s="371"/>
      <c r="G107" s="358" t="s">
        <v>440</v>
      </c>
      <c r="H107" s="358"/>
      <c r="I107" s="135">
        <f>I73</f>
        <v>212.04000000000002</v>
      </c>
      <c r="J107" s="134"/>
      <c r="K107" s="109"/>
      <c r="L107" s="109"/>
    </row>
    <row r="108" spans="1:12" ht="15.75" customHeight="1">
      <c r="A108" s="371"/>
      <c r="B108" s="371"/>
      <c r="C108" s="371"/>
      <c r="D108" s="371"/>
      <c r="E108" s="371"/>
      <c r="F108" s="371"/>
      <c r="G108" s="358" t="s">
        <v>468</v>
      </c>
      <c r="H108" s="358"/>
      <c r="I108" s="135">
        <f>I96</f>
        <v>62.739999999999995</v>
      </c>
      <c r="J108" s="134"/>
      <c r="K108" s="141"/>
      <c r="L108" s="141"/>
    </row>
    <row r="109" spans="1:12" ht="15.75" customHeight="1">
      <c r="A109" s="371"/>
      <c r="B109" s="371"/>
      <c r="C109" s="371"/>
      <c r="D109" s="371"/>
      <c r="E109" s="371"/>
      <c r="F109" s="371"/>
      <c r="G109" s="358" t="s">
        <v>469</v>
      </c>
      <c r="H109" s="358"/>
      <c r="I109" s="135">
        <f>I104</f>
        <v>178.16</v>
      </c>
      <c r="J109" s="134"/>
      <c r="K109" s="141"/>
      <c r="L109" s="141"/>
    </row>
    <row r="110" spans="1:12" ht="15.75" customHeight="1">
      <c r="A110" s="371"/>
      <c r="B110" s="371"/>
      <c r="C110" s="371"/>
      <c r="D110" s="371"/>
      <c r="E110" s="371"/>
      <c r="F110" s="371"/>
      <c r="G110" s="359" t="s">
        <v>389</v>
      </c>
      <c r="H110" s="359"/>
      <c r="I110" s="140">
        <f>SUM(I105:I109)</f>
        <v>3508.3179999999998</v>
      </c>
      <c r="J110" s="134"/>
      <c r="K110" s="109"/>
      <c r="L110" s="109"/>
    </row>
    <row r="111" spans="1:12" ht="15.75" customHeight="1">
      <c r="A111" s="351" t="s">
        <v>470</v>
      </c>
      <c r="B111" s="351"/>
      <c r="C111" s="351"/>
      <c r="D111" s="351"/>
      <c r="E111" s="351"/>
      <c r="F111" s="351"/>
      <c r="G111" s="351"/>
      <c r="H111" s="351"/>
      <c r="I111" s="351"/>
      <c r="J111" s="134"/>
      <c r="K111" s="109"/>
      <c r="L111" s="109"/>
    </row>
    <row r="112" spans="1:12" ht="15.75" customHeight="1">
      <c r="A112" s="96">
        <v>6</v>
      </c>
      <c r="B112" s="351" t="s">
        <v>471</v>
      </c>
      <c r="C112" s="351"/>
      <c r="D112" s="351"/>
      <c r="E112" s="351"/>
      <c r="F112" s="351"/>
      <c r="G112" s="351"/>
      <c r="H112" s="96" t="s">
        <v>362</v>
      </c>
      <c r="I112" s="96" t="s">
        <v>363</v>
      </c>
      <c r="J112" s="134"/>
      <c r="K112" s="109"/>
      <c r="L112" s="109"/>
    </row>
    <row r="113" spans="1:12" ht="15.75" customHeight="1">
      <c r="A113" s="95" t="s">
        <v>319</v>
      </c>
      <c r="B113" s="352" t="s">
        <v>472</v>
      </c>
      <c r="C113" s="352"/>
      <c r="D113" s="352"/>
      <c r="E113" s="352"/>
      <c r="F113" s="352"/>
      <c r="G113" s="352"/>
      <c r="H113" s="404">
        <v>1.4999999999999999E-2</v>
      </c>
      <c r="I113" s="133">
        <f>ROUND(H113*I110,2)</f>
        <v>52.62</v>
      </c>
      <c r="J113" s="134"/>
      <c r="K113" s="109"/>
      <c r="L113" s="109"/>
    </row>
    <row r="114" spans="1:12" ht="15.75" customHeight="1">
      <c r="A114" s="95" t="s">
        <v>322</v>
      </c>
      <c r="B114" s="352" t="s">
        <v>473</v>
      </c>
      <c r="C114" s="352"/>
      <c r="D114" s="352"/>
      <c r="E114" s="352"/>
      <c r="F114" s="352"/>
      <c r="G114" s="352"/>
      <c r="H114" s="404">
        <v>1.4999999999999999E-2</v>
      </c>
      <c r="I114" s="133">
        <f>ROUND(H114*(I110+I113),2)</f>
        <v>53.41</v>
      </c>
      <c r="J114" s="134"/>
      <c r="K114" s="109"/>
      <c r="L114" s="109"/>
    </row>
    <row r="115" spans="1:12" ht="15.75" customHeight="1">
      <c r="A115" s="95" t="s">
        <v>326</v>
      </c>
      <c r="B115" s="364" t="s">
        <v>474</v>
      </c>
      <c r="C115" s="364"/>
      <c r="D115" s="364"/>
      <c r="E115" s="364"/>
      <c r="F115" s="364"/>
      <c r="G115" s="364"/>
      <c r="H115" s="97"/>
      <c r="I115" s="184"/>
      <c r="J115" s="134"/>
      <c r="K115" s="109"/>
      <c r="L115" s="109"/>
    </row>
    <row r="116" spans="1:12" ht="15.75" customHeight="1">
      <c r="A116" s="95" t="s">
        <v>475</v>
      </c>
      <c r="B116" s="352" t="s">
        <v>476</v>
      </c>
      <c r="C116" s="352"/>
      <c r="D116" s="352"/>
      <c r="E116" s="352"/>
      <c r="F116" s="352"/>
      <c r="G116" s="352"/>
      <c r="H116" s="404">
        <v>5.7999999999999996E-3</v>
      </c>
      <c r="I116" s="133">
        <f>ROUND($I$126*H116,2)</f>
        <v>22.85</v>
      </c>
      <c r="J116" s="134"/>
      <c r="K116" s="109"/>
      <c r="L116" s="109"/>
    </row>
    <row r="117" spans="1:12" ht="15.75" customHeight="1">
      <c r="A117" s="95" t="s">
        <v>477</v>
      </c>
      <c r="B117" s="352" t="s">
        <v>376</v>
      </c>
      <c r="C117" s="352"/>
      <c r="D117" s="352"/>
      <c r="E117" s="352"/>
      <c r="F117" s="352"/>
      <c r="G117" s="352"/>
      <c r="H117" s="404">
        <v>2.6599999999999999E-2</v>
      </c>
      <c r="I117" s="133">
        <f>ROUND($I$126*H117,2)</f>
        <v>104.78</v>
      </c>
      <c r="J117" s="134"/>
      <c r="K117" s="109"/>
      <c r="L117" s="109"/>
    </row>
    <row r="118" spans="1:12" ht="15.75" customHeight="1">
      <c r="A118" s="95" t="s">
        <v>478</v>
      </c>
      <c r="B118" s="352" t="s">
        <v>479</v>
      </c>
      <c r="C118" s="352"/>
      <c r="D118" s="352"/>
      <c r="E118" s="352"/>
      <c r="F118" s="352"/>
      <c r="G118" s="352"/>
      <c r="H118" s="167">
        <v>0.05</v>
      </c>
      <c r="I118" s="133">
        <f>ROUND($I$126*H118,2)</f>
        <v>196.95</v>
      </c>
      <c r="J118" s="134"/>
      <c r="K118" s="109"/>
      <c r="L118" s="109"/>
    </row>
    <row r="119" spans="1:12" ht="15.75" customHeight="1">
      <c r="A119" s="351" t="s">
        <v>480</v>
      </c>
      <c r="B119" s="351"/>
      <c r="C119" s="351"/>
      <c r="D119" s="351"/>
      <c r="E119" s="351"/>
      <c r="F119" s="351"/>
      <c r="G119" s="351"/>
      <c r="H119" s="168">
        <f>SUM(H113:H118)</f>
        <v>0.1124</v>
      </c>
      <c r="I119" s="129">
        <f>SUM(I113:I118)</f>
        <v>430.61</v>
      </c>
      <c r="J119" s="134"/>
      <c r="K119" s="109"/>
      <c r="L119" s="109"/>
    </row>
    <row r="120" spans="1:12" ht="6.95" customHeight="1">
      <c r="A120" s="169"/>
      <c r="B120" s="170"/>
      <c r="C120" s="170"/>
      <c r="D120" s="170"/>
      <c r="E120" s="170"/>
      <c r="F120" s="170"/>
      <c r="G120" s="170"/>
      <c r="H120" s="171"/>
      <c r="I120" s="185"/>
      <c r="J120" s="134"/>
      <c r="K120" s="109"/>
      <c r="L120" s="109"/>
    </row>
    <row r="121" spans="1:12" ht="15.75" customHeight="1">
      <c r="A121" s="172" t="s">
        <v>481</v>
      </c>
      <c r="B121" s="365" t="s">
        <v>482</v>
      </c>
      <c r="C121" s="365"/>
      <c r="D121" s="365"/>
      <c r="E121" s="365"/>
      <c r="F121" s="365"/>
      <c r="G121" s="365"/>
      <c r="H121" s="174">
        <f>SUM(H116+H117+H118)</f>
        <v>8.2400000000000001E-2</v>
      </c>
      <c r="I121" s="186"/>
      <c r="J121" s="134"/>
      <c r="K121" s="109"/>
      <c r="L121" s="109"/>
    </row>
    <row r="122" spans="1:12" ht="15.75" customHeight="1">
      <c r="A122" s="172"/>
      <c r="B122" s="365">
        <v>100</v>
      </c>
      <c r="C122" s="365"/>
      <c r="D122" s="365"/>
      <c r="E122" s="365"/>
      <c r="F122" s="365"/>
      <c r="G122" s="365"/>
      <c r="H122" s="174"/>
      <c r="I122" s="186"/>
      <c r="J122" s="134"/>
      <c r="K122" s="109"/>
      <c r="L122" s="109"/>
    </row>
    <row r="123" spans="1:12" ht="15.75" customHeight="1">
      <c r="A123" s="175"/>
      <c r="B123" s="176"/>
      <c r="C123" s="176"/>
      <c r="D123" s="176"/>
      <c r="E123" s="176"/>
      <c r="F123" s="176"/>
      <c r="G123" s="176"/>
      <c r="H123" s="176"/>
      <c r="I123" s="187"/>
      <c r="J123" s="134"/>
      <c r="K123" s="141"/>
      <c r="L123" s="141"/>
    </row>
    <row r="124" spans="1:12" ht="15.75" customHeight="1">
      <c r="A124" s="172" t="s">
        <v>483</v>
      </c>
      <c r="B124" s="365" t="s">
        <v>484</v>
      </c>
      <c r="C124" s="365"/>
      <c r="D124" s="365"/>
      <c r="E124" s="365"/>
      <c r="F124" s="365"/>
      <c r="G124" s="365"/>
      <c r="H124" s="174"/>
      <c r="I124" s="186">
        <f>I110+I113+I114</f>
        <v>3614.3479999999995</v>
      </c>
      <c r="J124" s="134"/>
      <c r="K124" s="109"/>
      <c r="L124" s="109"/>
    </row>
    <row r="125" spans="1:12" ht="15.75" customHeight="1">
      <c r="A125" s="177"/>
      <c r="B125" s="178"/>
      <c r="C125" s="178"/>
      <c r="D125" s="178"/>
      <c r="E125" s="178"/>
      <c r="F125" s="178"/>
      <c r="G125" s="178"/>
      <c r="H125" s="178"/>
      <c r="I125" s="188"/>
      <c r="J125" s="134"/>
      <c r="K125" s="109"/>
      <c r="L125" s="109"/>
    </row>
    <row r="126" spans="1:12" ht="15.75" customHeight="1">
      <c r="A126" s="172" t="s">
        <v>485</v>
      </c>
      <c r="B126" s="365" t="s">
        <v>486</v>
      </c>
      <c r="C126" s="365"/>
      <c r="D126" s="365"/>
      <c r="E126" s="365"/>
      <c r="F126" s="365"/>
      <c r="G126" s="365"/>
      <c r="H126" s="174"/>
      <c r="I126" s="186">
        <f>ROUND(I124/(1-H121),2)</f>
        <v>3938.91</v>
      </c>
      <c r="J126" s="134"/>
      <c r="K126" s="109"/>
      <c r="L126" s="109"/>
    </row>
    <row r="127" spans="1:12" ht="15.75" customHeight="1">
      <c r="A127" s="172"/>
      <c r="B127" s="173"/>
      <c r="C127" s="173"/>
      <c r="D127" s="173"/>
      <c r="E127" s="173"/>
      <c r="F127" s="173"/>
      <c r="G127" s="173"/>
      <c r="H127" s="174"/>
      <c r="I127" s="186"/>
      <c r="J127" s="134"/>
      <c r="K127" s="109"/>
      <c r="L127" s="109"/>
    </row>
    <row r="128" spans="1:12" ht="15.75" customHeight="1">
      <c r="A128" s="172"/>
      <c r="B128" s="365" t="s">
        <v>487</v>
      </c>
      <c r="C128" s="365"/>
      <c r="D128" s="365"/>
      <c r="E128" s="365"/>
      <c r="F128" s="365"/>
      <c r="G128" s="365"/>
      <c r="H128" s="174"/>
      <c r="I128" s="186">
        <f>I126-I124</f>
        <v>324.56200000000035</v>
      </c>
      <c r="J128" s="134"/>
      <c r="K128" s="109"/>
      <c r="L128" s="109"/>
    </row>
    <row r="129" spans="1:12" ht="8.1" customHeight="1">
      <c r="A129" s="172"/>
      <c r="B129" s="173"/>
      <c r="H129" s="174"/>
      <c r="I129" s="186"/>
      <c r="J129" s="134"/>
      <c r="K129" s="109"/>
      <c r="L129" s="109"/>
    </row>
    <row r="130" spans="1:12" ht="15.75" customHeight="1">
      <c r="A130" s="351" t="s">
        <v>488</v>
      </c>
      <c r="B130" s="351"/>
      <c r="C130" s="351"/>
      <c r="D130" s="351"/>
      <c r="E130" s="351"/>
      <c r="F130" s="351"/>
      <c r="G130" s="351"/>
      <c r="H130" s="351"/>
      <c r="I130" s="351"/>
      <c r="J130" s="134"/>
      <c r="K130" s="109"/>
      <c r="L130" s="109"/>
    </row>
    <row r="131" spans="1:12" ht="15.75" customHeight="1">
      <c r="A131" s="351" t="s">
        <v>489</v>
      </c>
      <c r="B131" s="351"/>
      <c r="C131" s="351"/>
      <c r="D131" s="351"/>
      <c r="E131" s="351"/>
      <c r="F131" s="351"/>
      <c r="G131" s="351"/>
      <c r="H131" s="351"/>
      <c r="I131" s="96" t="s">
        <v>363</v>
      </c>
      <c r="J131" s="134"/>
      <c r="K131" s="141"/>
      <c r="L131" s="141"/>
    </row>
    <row r="132" spans="1:12" ht="15.75" customHeight="1">
      <c r="A132" s="63" t="s">
        <v>319</v>
      </c>
      <c r="B132" s="352" t="str">
        <f>A21</f>
        <v>MÓDULO 1 - COMPOSIÇÃO DA REMUNERAÇÃO</v>
      </c>
      <c r="C132" s="352"/>
      <c r="D132" s="352"/>
      <c r="E132" s="352"/>
      <c r="F132" s="352"/>
      <c r="G132" s="352"/>
      <c r="H132" s="352"/>
      <c r="I132" s="189">
        <f>I29</f>
        <v>1553.96</v>
      </c>
      <c r="J132" s="134"/>
      <c r="K132" s="141"/>
      <c r="L132" s="141"/>
    </row>
    <row r="133" spans="1:12" ht="15.75" customHeight="1">
      <c r="A133" s="63" t="s">
        <v>322</v>
      </c>
      <c r="B133" s="352" t="str">
        <f>A31</f>
        <v>MÓDULO 2 – ENCARGOS E BENEFÍCIOS ANUAIS, MENSAIS E DIÁRIOS</v>
      </c>
      <c r="C133" s="352"/>
      <c r="D133" s="352"/>
      <c r="E133" s="352"/>
      <c r="F133" s="352"/>
      <c r="G133" s="352"/>
      <c r="H133" s="352"/>
      <c r="I133" s="189">
        <f>I62</f>
        <v>1501.4180000000001</v>
      </c>
      <c r="J133" s="134"/>
      <c r="K133" s="141"/>
      <c r="L133" s="141"/>
    </row>
    <row r="134" spans="1:12" ht="15.75" customHeight="1">
      <c r="A134" s="63" t="s">
        <v>326</v>
      </c>
      <c r="B134" s="352" t="str">
        <f>A66</f>
        <v>MÓDULO 3 – PROVISÃO PARA RESCISÃO</v>
      </c>
      <c r="C134" s="352"/>
      <c r="D134" s="352"/>
      <c r="E134" s="352"/>
      <c r="F134" s="352"/>
      <c r="G134" s="352"/>
      <c r="H134" s="352"/>
      <c r="I134" s="189">
        <f>I73</f>
        <v>212.04000000000002</v>
      </c>
      <c r="J134" s="134"/>
      <c r="K134" s="100"/>
      <c r="L134" s="100"/>
    </row>
    <row r="135" spans="1:12" ht="15.75" customHeight="1">
      <c r="A135" s="63" t="s">
        <v>330</v>
      </c>
      <c r="B135" s="352" t="str">
        <f>A78</f>
        <v>MÓDULO 4 – CUSTO DE REPOSIÇÃO DO PROFISSIONAL AUSENTE</v>
      </c>
      <c r="C135" s="352"/>
      <c r="D135" s="352"/>
      <c r="E135" s="352"/>
      <c r="F135" s="352"/>
      <c r="G135" s="352"/>
      <c r="H135" s="352"/>
      <c r="I135" s="189">
        <f>I96</f>
        <v>62.739999999999995</v>
      </c>
      <c r="J135" s="190"/>
      <c r="K135" s="100"/>
      <c r="L135" s="100"/>
    </row>
    <row r="136" spans="1:12" ht="15.75" customHeight="1">
      <c r="A136" s="63" t="s">
        <v>372</v>
      </c>
      <c r="B136" s="352" t="str">
        <f>A98</f>
        <v>MÓDULO 5 – INSUMOS DIVERSOS</v>
      </c>
      <c r="C136" s="352"/>
      <c r="D136" s="352"/>
      <c r="E136" s="352"/>
      <c r="F136" s="352"/>
      <c r="G136" s="352"/>
      <c r="H136" s="352"/>
      <c r="I136" s="189">
        <f>I104</f>
        <v>178.16</v>
      </c>
      <c r="J136" s="134"/>
      <c r="K136" s="100"/>
      <c r="L136" s="100"/>
    </row>
    <row r="137" spans="1:12" ht="15.75" customHeight="1">
      <c r="A137" s="351" t="s">
        <v>490</v>
      </c>
      <c r="B137" s="351"/>
      <c r="C137" s="351"/>
      <c r="D137" s="351"/>
      <c r="E137" s="351"/>
      <c r="F137" s="351"/>
      <c r="G137" s="351"/>
      <c r="H137" s="351"/>
      <c r="I137" s="129">
        <f>SUM(I132:I136)</f>
        <v>3508.3179999999998</v>
      </c>
      <c r="J137" s="134"/>
    </row>
    <row r="138" spans="1:12" ht="15.75" customHeight="1">
      <c r="A138" s="63" t="s">
        <v>374</v>
      </c>
      <c r="B138" s="352" t="str">
        <f>A111</f>
        <v>MÓDULO 6 – CUSTOS INDIRETOS, TRIBUTOS E LUCRO</v>
      </c>
      <c r="C138" s="352"/>
      <c r="D138" s="352"/>
      <c r="E138" s="352"/>
      <c r="F138" s="352"/>
      <c r="G138" s="352"/>
      <c r="H138" s="352"/>
      <c r="I138" s="189">
        <f>I119</f>
        <v>430.61</v>
      </c>
      <c r="J138" s="191">
        <f>SUM(J28:J137)</f>
        <v>2851.2740400000002</v>
      </c>
    </row>
    <row r="139" spans="1:12" ht="15.75" customHeight="1">
      <c r="A139" s="351" t="s">
        <v>491</v>
      </c>
      <c r="B139" s="351"/>
      <c r="C139" s="351"/>
      <c r="D139" s="351"/>
      <c r="E139" s="351"/>
      <c r="F139" s="351"/>
      <c r="G139" s="351"/>
      <c r="H139" s="351"/>
      <c r="I139" s="129">
        <f>SUM(I137:I138)</f>
        <v>3938.9279999999999</v>
      </c>
    </row>
    <row r="140" spans="1:12" ht="15.75" customHeight="1"/>
    <row r="141" spans="1:12" ht="15.75" customHeight="1"/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4" firstPageNumber="0" orientation="portrait" useFirstPageNumber="1" horizontalDpi="300" verticalDpi="300"/>
  <rowBreaks count="1" manualBreakCount="1">
    <brk id="140" max="16383" man="1"/>
  </rowBreaks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97"/>
  <sheetViews>
    <sheetView topLeftCell="A52" zoomScale="90" zoomScaleNormal="90" workbookViewId="0">
      <selection activeCell="B115" sqref="B115:G115"/>
    </sheetView>
  </sheetViews>
  <sheetFormatPr defaultColWidth="9" defaultRowHeight="15"/>
  <cols>
    <col min="1" max="1" width="7.42578125" customWidth="1"/>
    <col min="2" max="2" width="10.85546875" customWidth="1"/>
    <col min="3" max="4" width="14.85546875" customWidth="1"/>
    <col min="5" max="5" width="12.42578125" customWidth="1"/>
    <col min="6" max="6" width="10.42578125" customWidth="1"/>
    <col min="7" max="7" width="14.7109375" customWidth="1"/>
    <col min="8" max="8" width="17.28515625" customWidth="1"/>
    <col min="9" max="9" width="28.5703125" customWidth="1"/>
    <col min="10" max="10" width="31.28515625" customWidth="1"/>
    <col min="11" max="11" width="35.7109375" customWidth="1"/>
    <col min="12" max="12" width="24.140625" customWidth="1"/>
    <col min="13" max="1025" width="14.42578125" customWidth="1"/>
  </cols>
  <sheetData>
    <row r="1" spans="1:12" ht="15.75">
      <c r="A1" s="348" t="s">
        <v>511</v>
      </c>
      <c r="B1" s="348"/>
      <c r="C1" s="348"/>
      <c r="D1" s="348"/>
      <c r="E1" s="348"/>
      <c r="F1" s="348"/>
      <c r="G1" s="348"/>
      <c r="H1" s="348"/>
      <c r="I1" s="348"/>
      <c r="J1" s="366" t="s">
        <v>315</v>
      </c>
      <c r="K1" s="100"/>
      <c r="L1" s="100"/>
    </row>
    <row r="2" spans="1:12" ht="15.75">
      <c r="A2" s="348"/>
      <c r="B2" s="348"/>
      <c r="C2" s="348"/>
      <c r="D2" s="348"/>
      <c r="E2" s="348"/>
      <c r="F2" s="348"/>
      <c r="G2" s="348"/>
      <c r="H2" s="348"/>
      <c r="I2" s="348"/>
      <c r="J2" s="366"/>
      <c r="K2" s="100"/>
      <c r="L2" s="100"/>
    </row>
    <row r="3" spans="1:12" ht="15.75">
      <c r="A3" s="348" t="s">
        <v>316</v>
      </c>
      <c r="B3" s="348"/>
      <c r="C3" s="348"/>
      <c r="D3" s="348"/>
      <c r="E3" s="348"/>
      <c r="F3" s="348"/>
      <c r="G3" s="348"/>
      <c r="H3" s="350" t="s">
        <v>317</v>
      </c>
      <c r="I3" s="350"/>
      <c r="J3" s="366"/>
      <c r="K3" s="100"/>
      <c r="L3" s="100"/>
    </row>
    <row r="4" spans="1:12" ht="15.75">
      <c r="A4" s="348"/>
      <c r="B4" s="348"/>
      <c r="C4" s="348"/>
      <c r="D4" s="348"/>
      <c r="E4" s="348"/>
      <c r="F4" s="348"/>
      <c r="G4" s="348"/>
      <c r="H4" s="348"/>
      <c r="I4" s="348"/>
      <c r="J4" s="366"/>
      <c r="K4" s="101"/>
      <c r="L4" s="101"/>
    </row>
    <row r="5" spans="1:12" ht="15.75">
      <c r="A5" s="351" t="s">
        <v>318</v>
      </c>
      <c r="B5" s="351"/>
      <c r="C5" s="351"/>
      <c r="D5" s="351"/>
      <c r="E5" s="351"/>
      <c r="F5" s="351"/>
      <c r="G5" s="351"/>
      <c r="H5" s="351"/>
      <c r="I5" s="351"/>
      <c r="J5" s="366"/>
      <c r="K5" s="100"/>
      <c r="L5" s="100"/>
    </row>
    <row r="6" spans="1:12" ht="15.75">
      <c r="A6" s="63" t="s">
        <v>319</v>
      </c>
      <c r="B6" s="352" t="s">
        <v>320</v>
      </c>
      <c r="C6" s="352"/>
      <c r="D6" s="352"/>
      <c r="E6" s="352"/>
      <c r="F6" s="352"/>
      <c r="G6" s="352"/>
      <c r="H6" s="352"/>
      <c r="I6" s="102"/>
      <c r="J6" s="366"/>
      <c r="K6" s="103" t="s">
        <v>321</v>
      </c>
      <c r="L6" s="104"/>
    </row>
    <row r="7" spans="1:12" ht="15.75">
      <c r="A7" s="63" t="s">
        <v>322</v>
      </c>
      <c r="B7" s="352" t="s">
        <v>323</v>
      </c>
      <c r="C7" s="352"/>
      <c r="D7" s="352"/>
      <c r="E7" s="352"/>
      <c r="F7" s="352"/>
      <c r="G7" s="352"/>
      <c r="H7" s="352"/>
      <c r="I7" s="63" t="s">
        <v>324</v>
      </c>
      <c r="J7" s="366"/>
      <c r="K7" s="105" t="s">
        <v>325</v>
      </c>
      <c r="L7" s="106"/>
    </row>
    <row r="8" spans="1:12" ht="15.75">
      <c r="A8" s="63" t="s">
        <v>326</v>
      </c>
      <c r="B8" s="352" t="s">
        <v>327</v>
      </c>
      <c r="C8" s="352"/>
      <c r="D8" s="352"/>
      <c r="E8" s="352"/>
      <c r="F8" s="352"/>
      <c r="G8" s="352"/>
      <c r="H8" s="352"/>
      <c r="I8" s="63" t="s">
        <v>328</v>
      </c>
      <c r="J8" s="366"/>
      <c r="K8" s="107" t="s">
        <v>329</v>
      </c>
      <c r="L8" s="108">
        <f>J138</f>
        <v>2851.2740400000002</v>
      </c>
    </row>
    <row r="9" spans="1:12" ht="15.75">
      <c r="A9" s="63" t="s">
        <v>330</v>
      </c>
      <c r="B9" s="352" t="s">
        <v>331</v>
      </c>
      <c r="C9" s="352"/>
      <c r="D9" s="352"/>
      <c r="E9" s="352"/>
      <c r="F9" s="352"/>
      <c r="G9" s="352"/>
      <c r="H9" s="352"/>
      <c r="I9" s="63">
        <v>12</v>
      </c>
      <c r="J9" s="366"/>
      <c r="K9" s="109"/>
      <c r="L9" s="109"/>
    </row>
    <row r="10" spans="1:12" ht="15.75">
      <c r="A10" s="353"/>
      <c r="B10" s="353"/>
      <c r="C10" s="353"/>
      <c r="D10" s="353"/>
      <c r="E10" s="353"/>
      <c r="F10" s="353"/>
      <c r="G10" s="353"/>
      <c r="H10" s="353"/>
      <c r="I10" s="353"/>
      <c r="J10" s="366"/>
      <c r="K10" s="103" t="s">
        <v>332</v>
      </c>
      <c r="L10" s="104"/>
    </row>
    <row r="11" spans="1:12" ht="12.75" customHeight="1">
      <c r="A11" s="351" t="s">
        <v>333</v>
      </c>
      <c r="B11" s="351"/>
      <c r="C11" s="351"/>
      <c r="D11" s="351"/>
      <c r="E11" s="351"/>
      <c r="F11" s="351"/>
      <c r="G11" s="351"/>
      <c r="H11" s="351"/>
      <c r="I11" s="351"/>
      <c r="J11" s="366"/>
      <c r="K11" s="110" t="s">
        <v>334</v>
      </c>
      <c r="L11" s="111"/>
    </row>
    <row r="12" spans="1:12" ht="15.75">
      <c r="A12" s="350" t="s">
        <v>335</v>
      </c>
      <c r="B12" s="350"/>
      <c r="C12" s="350" t="s">
        <v>336</v>
      </c>
      <c r="D12" s="350"/>
      <c r="E12" s="350" t="s">
        <v>337</v>
      </c>
      <c r="F12" s="350"/>
      <c r="G12" s="350"/>
      <c r="H12" s="350"/>
      <c r="I12" s="350"/>
      <c r="J12" s="366"/>
      <c r="K12" s="112" t="s">
        <v>338</v>
      </c>
      <c r="L12" s="113">
        <v>0.11</v>
      </c>
    </row>
    <row r="13" spans="1:12" ht="15.75">
      <c r="A13" s="354" t="s">
        <v>339</v>
      </c>
      <c r="B13" s="354"/>
      <c r="C13" s="355" t="s">
        <v>499</v>
      </c>
      <c r="D13" s="355"/>
      <c r="E13" s="350"/>
      <c r="F13" s="350"/>
      <c r="G13" s="350"/>
      <c r="H13" s="350"/>
      <c r="I13" s="350"/>
      <c r="J13" s="366"/>
      <c r="K13" s="114" t="s">
        <v>341</v>
      </c>
      <c r="L13" s="115">
        <f>I52</f>
        <v>473.82</v>
      </c>
    </row>
    <row r="14" spans="1:12" ht="15.75">
      <c r="A14" s="351" t="s">
        <v>342</v>
      </c>
      <c r="B14" s="351"/>
      <c r="C14" s="351"/>
      <c r="D14" s="351"/>
      <c r="E14" s="351"/>
      <c r="F14" s="351"/>
      <c r="G14" s="351"/>
      <c r="H14" s="351"/>
      <c r="I14" s="351"/>
      <c r="J14" s="366"/>
      <c r="K14" s="114" t="s">
        <v>343</v>
      </c>
      <c r="L14" s="115">
        <f>I104</f>
        <v>178.16</v>
      </c>
    </row>
    <row r="15" spans="1:12" ht="26.25">
      <c r="A15" s="63">
        <v>1</v>
      </c>
      <c r="B15" s="352" t="s">
        <v>344</v>
      </c>
      <c r="C15" s="352"/>
      <c r="D15" s="352"/>
      <c r="E15" s="352"/>
      <c r="F15" s="352"/>
      <c r="G15" s="352"/>
      <c r="H15" s="352"/>
      <c r="I15" s="69" t="s">
        <v>500</v>
      </c>
      <c r="J15" s="366"/>
      <c r="K15" s="114" t="s">
        <v>346</v>
      </c>
      <c r="L15" s="115">
        <f>I51</f>
        <v>0</v>
      </c>
    </row>
    <row r="16" spans="1:12" ht="15.75">
      <c r="A16" s="63">
        <v>2</v>
      </c>
      <c r="B16" s="352" t="s">
        <v>347</v>
      </c>
      <c r="C16" s="352"/>
      <c r="D16" s="352"/>
      <c r="E16" s="352"/>
      <c r="F16" s="352"/>
      <c r="G16" s="352"/>
      <c r="H16" s="352"/>
      <c r="I16" s="63" t="s">
        <v>501</v>
      </c>
      <c r="J16" s="366"/>
      <c r="K16" s="116" t="s">
        <v>349</v>
      </c>
      <c r="L16" s="117">
        <f>SUM(L13:L15)</f>
        <v>651.98</v>
      </c>
    </row>
    <row r="17" spans="1:12" ht="15.75">
      <c r="A17" s="63">
        <v>3</v>
      </c>
      <c r="B17" s="352" t="s">
        <v>350</v>
      </c>
      <c r="C17" s="352"/>
      <c r="D17" s="352"/>
      <c r="E17" s="352"/>
      <c r="F17" s="352"/>
      <c r="G17" s="352"/>
      <c r="H17" s="352"/>
      <c r="I17" s="64">
        <v>1553.96</v>
      </c>
      <c r="J17" s="366"/>
      <c r="K17" s="114" t="s">
        <v>351</v>
      </c>
      <c r="L17" s="118">
        <f>I139</f>
        <v>3938.9279999999999</v>
      </c>
    </row>
    <row r="18" spans="1:12" ht="38.25">
      <c r="A18" s="6">
        <v>4</v>
      </c>
      <c r="B18" s="356" t="s">
        <v>352</v>
      </c>
      <c r="C18" s="356"/>
      <c r="D18" s="356"/>
      <c r="E18" s="356"/>
      <c r="F18" s="356"/>
      <c r="G18" s="356"/>
      <c r="H18" s="356"/>
      <c r="I18" s="13" t="s">
        <v>353</v>
      </c>
      <c r="J18" s="366"/>
      <c r="K18" s="119" t="s">
        <v>354</v>
      </c>
      <c r="L18" s="120">
        <f>L17-L16</f>
        <v>3286.9479999999999</v>
      </c>
    </row>
    <row r="19" spans="1:12" ht="15.75">
      <c r="A19" s="63">
        <v>5</v>
      </c>
      <c r="B19" s="352" t="s">
        <v>355</v>
      </c>
      <c r="C19" s="352"/>
      <c r="D19" s="352"/>
      <c r="E19" s="352"/>
      <c r="F19" s="352"/>
      <c r="G19" s="352"/>
      <c r="H19" s="352"/>
      <c r="I19" s="102" t="s">
        <v>356</v>
      </c>
      <c r="J19" s="366"/>
      <c r="K19" s="121" t="s">
        <v>357</v>
      </c>
      <c r="L19" s="122">
        <f>L18*11%</f>
        <v>361.56428</v>
      </c>
    </row>
    <row r="20" spans="1:12" ht="15.75">
      <c r="A20" s="357"/>
      <c r="B20" s="357"/>
      <c r="C20" s="357"/>
      <c r="D20" s="357"/>
      <c r="E20" s="357"/>
      <c r="F20" s="357"/>
      <c r="G20" s="357"/>
      <c r="H20" s="357"/>
      <c r="I20" s="357"/>
      <c r="J20" s="366"/>
      <c r="K20" s="112" t="s">
        <v>358</v>
      </c>
      <c r="L20" s="123"/>
    </row>
    <row r="21" spans="1:12" ht="15.75" customHeight="1">
      <c r="A21" s="351" t="s">
        <v>359</v>
      </c>
      <c r="B21" s="351"/>
      <c r="C21" s="351"/>
      <c r="D21" s="351"/>
      <c r="E21" s="351"/>
      <c r="F21" s="351"/>
      <c r="G21" s="351"/>
      <c r="H21" s="351"/>
      <c r="I21" s="351"/>
      <c r="J21" s="366"/>
      <c r="K21" s="124" t="s">
        <v>360</v>
      </c>
      <c r="L21" s="125">
        <v>1.2E-2</v>
      </c>
    </row>
    <row r="22" spans="1:12" ht="15.75" customHeight="1">
      <c r="A22" s="95">
        <v>1</v>
      </c>
      <c r="B22" s="351" t="s">
        <v>361</v>
      </c>
      <c r="C22" s="351"/>
      <c r="D22" s="351"/>
      <c r="E22" s="351"/>
      <c r="F22" s="351"/>
      <c r="G22" s="351"/>
      <c r="H22" s="96" t="s">
        <v>362</v>
      </c>
      <c r="I22" s="96" t="s">
        <v>363</v>
      </c>
      <c r="J22" s="366"/>
      <c r="K22" s="126" t="s">
        <v>364</v>
      </c>
      <c r="L22" s="127">
        <v>4.8000000000000001E-2</v>
      </c>
    </row>
    <row r="23" spans="1:12" ht="15.75" customHeight="1">
      <c r="A23" s="95" t="s">
        <v>319</v>
      </c>
      <c r="B23" s="352" t="s">
        <v>365</v>
      </c>
      <c r="C23" s="352"/>
      <c r="D23" s="352"/>
      <c r="E23" s="352"/>
      <c r="F23" s="352"/>
      <c r="G23" s="352"/>
      <c r="H23" s="62"/>
      <c r="I23" s="128">
        <f>I17</f>
        <v>1553.96</v>
      </c>
      <c r="J23" s="366"/>
      <c r="K23" s="114" t="s">
        <v>366</v>
      </c>
      <c r="L23" s="118">
        <f>L17</f>
        <v>3938.9279999999999</v>
      </c>
    </row>
    <row r="24" spans="1:12" ht="15.75" customHeight="1">
      <c r="A24" s="95" t="s">
        <v>322</v>
      </c>
      <c r="B24" s="352" t="s">
        <v>367</v>
      </c>
      <c r="C24" s="352"/>
      <c r="D24" s="352"/>
      <c r="E24" s="352"/>
      <c r="F24" s="352"/>
      <c r="G24" s="352"/>
      <c r="H24" s="97"/>
      <c r="I24" s="128">
        <v>0</v>
      </c>
      <c r="J24" s="366"/>
      <c r="K24" s="121" t="s">
        <v>368</v>
      </c>
      <c r="L24" s="122">
        <f>L23*L21</f>
        <v>47.267136000000001</v>
      </c>
    </row>
    <row r="25" spans="1:12" ht="15.75" customHeight="1">
      <c r="A25" s="95" t="s">
        <v>326</v>
      </c>
      <c r="B25" s="352" t="s">
        <v>369</v>
      </c>
      <c r="C25" s="352"/>
      <c r="D25" s="352"/>
      <c r="E25" s="352"/>
      <c r="F25" s="352"/>
      <c r="G25" s="352"/>
      <c r="H25" s="97"/>
      <c r="I25" s="128">
        <v>0</v>
      </c>
      <c r="J25" s="366"/>
      <c r="K25" s="112" t="s">
        <v>370</v>
      </c>
      <c r="L25" s="113">
        <v>0.01</v>
      </c>
    </row>
    <row r="26" spans="1:12" ht="15.75" customHeight="1">
      <c r="A26" s="95" t="s">
        <v>330</v>
      </c>
      <c r="B26" s="352" t="s">
        <v>371</v>
      </c>
      <c r="C26" s="352"/>
      <c r="D26" s="352"/>
      <c r="E26" s="352"/>
      <c r="F26" s="352"/>
      <c r="G26" s="352"/>
      <c r="H26" s="97"/>
      <c r="I26" s="128">
        <v>0</v>
      </c>
      <c r="J26" s="366"/>
      <c r="K26" s="119" t="s">
        <v>351</v>
      </c>
      <c r="L26" s="120">
        <f>L17</f>
        <v>3938.9279999999999</v>
      </c>
    </row>
    <row r="27" spans="1:12" ht="15.75" customHeight="1">
      <c r="A27" s="95" t="s">
        <v>372</v>
      </c>
      <c r="B27" s="352" t="s">
        <v>373</v>
      </c>
      <c r="C27" s="352"/>
      <c r="D27" s="352"/>
      <c r="E27" s="352"/>
      <c r="F27" s="352"/>
      <c r="G27" s="352"/>
      <c r="H27" s="97"/>
      <c r="I27" s="128">
        <v>0</v>
      </c>
      <c r="J27" s="366"/>
      <c r="K27" s="121" t="s">
        <v>357</v>
      </c>
      <c r="L27" s="122">
        <f>L26*L25</f>
        <v>39.389279999999999</v>
      </c>
    </row>
    <row r="28" spans="1:12" ht="15.75" customHeight="1">
      <c r="A28" s="95" t="s">
        <v>374</v>
      </c>
      <c r="B28" s="352" t="s">
        <v>375</v>
      </c>
      <c r="C28" s="352"/>
      <c r="D28" s="352"/>
      <c r="E28" s="352"/>
      <c r="F28" s="352"/>
      <c r="G28" s="352"/>
      <c r="H28" s="97"/>
      <c r="I28" s="128">
        <v>0</v>
      </c>
      <c r="J28" s="366"/>
      <c r="K28" s="112" t="s">
        <v>376</v>
      </c>
      <c r="L28" s="113">
        <f>H117</f>
        <v>2.6599999999999999E-2</v>
      </c>
    </row>
    <row r="29" spans="1:12" ht="15.75" customHeight="1">
      <c r="A29" s="351" t="s">
        <v>377</v>
      </c>
      <c r="B29" s="351"/>
      <c r="C29" s="351"/>
      <c r="D29" s="351"/>
      <c r="E29" s="351"/>
      <c r="F29" s="351"/>
      <c r="G29" s="351"/>
      <c r="H29" s="351"/>
      <c r="I29" s="129">
        <f>SUM(I23:I28)</f>
        <v>1553.96</v>
      </c>
      <c r="J29" s="130">
        <f>SUM(I23:I28)</f>
        <v>1553.96</v>
      </c>
      <c r="K29" s="119" t="s">
        <v>351</v>
      </c>
      <c r="L29" s="120">
        <f>L17</f>
        <v>3938.9279999999999</v>
      </c>
    </row>
    <row r="30" spans="1:12" ht="15.7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131"/>
      <c r="K30" s="121" t="s">
        <v>357</v>
      </c>
      <c r="L30" s="122">
        <f>L29*L28</f>
        <v>104.77548479999999</v>
      </c>
    </row>
    <row r="31" spans="1:12" ht="15.75" customHeight="1">
      <c r="A31" s="351" t="s">
        <v>378</v>
      </c>
      <c r="B31" s="351"/>
      <c r="C31" s="351"/>
      <c r="D31" s="351"/>
      <c r="E31" s="351"/>
      <c r="F31" s="351"/>
      <c r="G31" s="351"/>
      <c r="H31" s="351"/>
      <c r="I31" s="351"/>
      <c r="J31" s="131"/>
      <c r="K31" s="112" t="s">
        <v>379</v>
      </c>
      <c r="L31" s="113">
        <f>H116</f>
        <v>5.7999999999999996E-3</v>
      </c>
    </row>
    <row r="32" spans="1:12" ht="15.75" customHeight="1">
      <c r="A32" s="351" t="s">
        <v>380</v>
      </c>
      <c r="B32" s="351"/>
      <c r="C32" s="351"/>
      <c r="D32" s="351"/>
      <c r="E32" s="351"/>
      <c r="F32" s="351"/>
      <c r="G32" s="351"/>
      <c r="H32" s="96" t="s">
        <v>362</v>
      </c>
      <c r="I32" s="96" t="s">
        <v>363</v>
      </c>
      <c r="J32" s="132"/>
      <c r="K32" s="119" t="s">
        <v>351</v>
      </c>
      <c r="L32" s="120">
        <f>L17</f>
        <v>3938.9279999999999</v>
      </c>
    </row>
    <row r="33" spans="1:12" ht="15.75" customHeight="1">
      <c r="A33" s="95" t="s">
        <v>319</v>
      </c>
      <c r="B33" s="352" t="s">
        <v>381</v>
      </c>
      <c r="C33" s="352"/>
      <c r="D33" s="352"/>
      <c r="E33" s="352"/>
      <c r="F33" s="352"/>
      <c r="G33" s="352"/>
      <c r="H33" s="97">
        <f>ROUND(1/12,4)</f>
        <v>8.3299999999999999E-2</v>
      </c>
      <c r="I33" s="133">
        <f>ROUND(I29*H33,2)</f>
        <v>129.44</v>
      </c>
      <c r="J33" s="130">
        <f>I33+(I33*$H$48)</f>
        <v>174.48511999999999</v>
      </c>
      <c r="K33" s="121" t="s">
        <v>357</v>
      </c>
      <c r="L33" s="122">
        <f>L32*L31</f>
        <v>22.845782399999997</v>
      </c>
    </row>
    <row r="34" spans="1:12" ht="15.75" customHeight="1">
      <c r="A34" s="95" t="s">
        <v>322</v>
      </c>
      <c r="B34" s="352" t="s">
        <v>382</v>
      </c>
      <c r="C34" s="352"/>
      <c r="D34" s="352"/>
      <c r="E34" s="352"/>
      <c r="F34" s="352"/>
      <c r="G34" s="352"/>
      <c r="H34" s="97">
        <v>0.121</v>
      </c>
      <c r="I34" s="133">
        <f>ROUND(I29*H34,2)</f>
        <v>188.03</v>
      </c>
      <c r="J34" s="130">
        <f>I34+(I34*$H$48)</f>
        <v>253.46444000000002</v>
      </c>
      <c r="K34" s="112" t="s">
        <v>383</v>
      </c>
      <c r="L34" s="113">
        <f>H118</f>
        <v>0.05</v>
      </c>
    </row>
    <row r="35" spans="1:12" ht="15.75" customHeight="1">
      <c r="A35" s="351" t="s">
        <v>384</v>
      </c>
      <c r="B35" s="351"/>
      <c r="C35" s="351"/>
      <c r="D35" s="351"/>
      <c r="E35" s="351"/>
      <c r="F35" s="351"/>
      <c r="G35" s="351"/>
      <c r="H35" s="98">
        <f>SUM(H33:H34)</f>
        <v>0.20430000000000001</v>
      </c>
      <c r="I35" s="129">
        <f>SUM(I33:I34)</f>
        <v>317.47000000000003</v>
      </c>
      <c r="J35" s="134"/>
      <c r="K35" s="119" t="s">
        <v>351</v>
      </c>
      <c r="L35" s="120">
        <f>L17</f>
        <v>3938.9279999999999</v>
      </c>
    </row>
    <row r="36" spans="1:12" ht="15.75" customHeight="1">
      <c r="A36" s="369" t="s">
        <v>385</v>
      </c>
      <c r="B36" s="369"/>
      <c r="C36" s="369"/>
      <c r="D36" s="369"/>
      <c r="E36" s="369"/>
      <c r="F36" s="369"/>
      <c r="G36" s="358" t="s">
        <v>386</v>
      </c>
      <c r="H36" s="358"/>
      <c r="I36" s="135">
        <f>I29</f>
        <v>1553.96</v>
      </c>
      <c r="J36" s="136"/>
      <c r="K36" s="121" t="s">
        <v>357</v>
      </c>
      <c r="L36" s="122">
        <f>L35*L34</f>
        <v>196.94640000000001</v>
      </c>
    </row>
    <row r="37" spans="1:12" ht="15.75" customHeight="1">
      <c r="A37" s="369"/>
      <c r="B37" s="369"/>
      <c r="C37" s="369"/>
      <c r="D37" s="369"/>
      <c r="E37" s="369"/>
      <c r="F37" s="369"/>
      <c r="G37" s="358" t="s">
        <v>387</v>
      </c>
      <c r="H37" s="358"/>
      <c r="I37" s="135">
        <f>I35</f>
        <v>317.47000000000003</v>
      </c>
      <c r="J37" s="137"/>
      <c r="K37" s="138" t="s">
        <v>388</v>
      </c>
      <c r="L37" s="139">
        <f>L19+L24+L27+L30+L33+L36</f>
        <v>772.78836319999994</v>
      </c>
    </row>
    <row r="38" spans="1:12" ht="15.75" customHeight="1">
      <c r="A38" s="369"/>
      <c r="B38" s="369"/>
      <c r="C38" s="369"/>
      <c r="D38" s="369"/>
      <c r="E38" s="369"/>
      <c r="F38" s="369"/>
      <c r="G38" s="359" t="s">
        <v>389</v>
      </c>
      <c r="H38" s="359"/>
      <c r="I38" s="140">
        <f>SUM(I36:I37)</f>
        <v>1871.43</v>
      </c>
      <c r="J38" s="136"/>
      <c r="K38" s="141"/>
      <c r="L38" s="141"/>
    </row>
    <row r="39" spans="1:12" ht="15.75" customHeight="1">
      <c r="A39" s="351" t="s">
        <v>390</v>
      </c>
      <c r="B39" s="351"/>
      <c r="C39" s="351"/>
      <c r="D39" s="351"/>
      <c r="E39" s="351"/>
      <c r="F39" s="351"/>
      <c r="G39" s="351"/>
      <c r="H39" s="96" t="s">
        <v>362</v>
      </c>
      <c r="I39" s="96" t="s">
        <v>363</v>
      </c>
      <c r="J39" s="136"/>
      <c r="K39" s="142" t="s">
        <v>391</v>
      </c>
      <c r="L39" s="143"/>
    </row>
    <row r="40" spans="1:12" ht="15.75" customHeight="1">
      <c r="A40" s="95" t="s">
        <v>319</v>
      </c>
      <c r="B40" s="352" t="s">
        <v>392</v>
      </c>
      <c r="C40" s="352"/>
      <c r="D40" s="352"/>
      <c r="E40" s="352"/>
      <c r="F40" s="352"/>
      <c r="G40" s="352"/>
      <c r="H40" s="97">
        <v>0.2</v>
      </c>
      <c r="I40" s="133">
        <f t="shared" ref="I40:I47" si="0">ROUND($I$38*H40,2)</f>
        <v>374.29</v>
      </c>
      <c r="J40" s="144" t="s">
        <v>393</v>
      </c>
      <c r="K40" s="145" t="s">
        <v>394</v>
      </c>
      <c r="L40" s="146"/>
    </row>
    <row r="41" spans="1:12" ht="15.75" customHeight="1">
      <c r="A41" s="95" t="s">
        <v>322</v>
      </c>
      <c r="B41" s="352" t="s">
        <v>395</v>
      </c>
      <c r="C41" s="352"/>
      <c r="D41" s="352"/>
      <c r="E41" s="352"/>
      <c r="F41" s="352"/>
      <c r="G41" s="352"/>
      <c r="H41" s="97">
        <v>2.5000000000000001E-2</v>
      </c>
      <c r="I41" s="133">
        <f t="shared" si="0"/>
        <v>46.79</v>
      </c>
      <c r="J41" s="130">
        <f t="shared" ref="J41:J47" si="1">$I$29*H41</f>
        <v>38.848999999999997</v>
      </c>
      <c r="K41" s="147" t="s">
        <v>394</v>
      </c>
      <c r="L41" s="148">
        <f>L8+L37</f>
        <v>3624.0624032000001</v>
      </c>
    </row>
    <row r="42" spans="1:12" ht="15.75" customHeight="1">
      <c r="A42" s="95" t="s">
        <v>326</v>
      </c>
      <c r="B42" s="352" t="s">
        <v>396</v>
      </c>
      <c r="C42" s="352"/>
      <c r="D42" s="352"/>
      <c r="E42" s="352"/>
      <c r="F42" s="352"/>
      <c r="G42" s="352"/>
      <c r="H42" s="402">
        <v>0.01</v>
      </c>
      <c r="I42" s="133">
        <f t="shared" si="0"/>
        <v>18.71</v>
      </c>
      <c r="J42" s="144" t="s">
        <v>393</v>
      </c>
      <c r="K42" s="109"/>
      <c r="L42" s="149"/>
    </row>
    <row r="43" spans="1:12" ht="15.75" customHeight="1">
      <c r="A43" s="95" t="s">
        <v>330</v>
      </c>
      <c r="B43" s="352" t="s">
        <v>397</v>
      </c>
      <c r="C43" s="352"/>
      <c r="D43" s="352"/>
      <c r="E43" s="352"/>
      <c r="F43" s="352"/>
      <c r="G43" s="352"/>
      <c r="H43" s="97">
        <v>1.4999999999999999E-2</v>
      </c>
      <c r="I43" s="133">
        <f t="shared" si="0"/>
        <v>28.07</v>
      </c>
      <c r="J43" s="130">
        <f t="shared" si="1"/>
        <v>23.3094</v>
      </c>
      <c r="K43" s="109"/>
      <c r="L43" s="149"/>
    </row>
    <row r="44" spans="1:12" ht="15.75" customHeight="1">
      <c r="A44" s="95" t="s">
        <v>372</v>
      </c>
      <c r="B44" s="352" t="s">
        <v>398</v>
      </c>
      <c r="C44" s="352"/>
      <c r="D44" s="352"/>
      <c r="E44" s="352"/>
      <c r="F44" s="352"/>
      <c r="G44" s="352"/>
      <c r="H44" s="97">
        <v>0.01</v>
      </c>
      <c r="I44" s="133">
        <f t="shared" si="0"/>
        <v>18.71</v>
      </c>
      <c r="J44" s="130">
        <f t="shared" si="1"/>
        <v>15.5396</v>
      </c>
      <c r="K44" s="109"/>
      <c r="L44" s="149"/>
    </row>
    <row r="45" spans="1:12" ht="15.75" customHeight="1">
      <c r="A45" s="95" t="s">
        <v>374</v>
      </c>
      <c r="B45" s="352" t="s">
        <v>399</v>
      </c>
      <c r="C45" s="352"/>
      <c r="D45" s="352"/>
      <c r="E45" s="352"/>
      <c r="F45" s="352"/>
      <c r="G45" s="352"/>
      <c r="H45" s="97">
        <v>6.0000000000000001E-3</v>
      </c>
      <c r="I45" s="133">
        <f t="shared" si="0"/>
        <v>11.23</v>
      </c>
      <c r="J45" s="130">
        <f t="shared" si="1"/>
        <v>9.32376</v>
      </c>
      <c r="K45" s="109"/>
      <c r="L45" s="149"/>
    </row>
    <row r="46" spans="1:12" ht="15.75" customHeight="1">
      <c r="A46" s="95" t="s">
        <v>400</v>
      </c>
      <c r="B46" s="352" t="s">
        <v>401</v>
      </c>
      <c r="C46" s="352"/>
      <c r="D46" s="352"/>
      <c r="E46" s="352"/>
      <c r="F46" s="352"/>
      <c r="G46" s="352"/>
      <c r="H46" s="97">
        <v>2E-3</v>
      </c>
      <c r="I46" s="133">
        <f t="shared" si="0"/>
        <v>3.74</v>
      </c>
      <c r="J46" s="130">
        <f t="shared" si="1"/>
        <v>3.10792</v>
      </c>
      <c r="K46" s="109"/>
      <c r="L46" s="149"/>
    </row>
    <row r="47" spans="1:12" ht="15.75" customHeight="1">
      <c r="A47" s="95" t="s">
        <v>402</v>
      </c>
      <c r="B47" s="352" t="s">
        <v>403</v>
      </c>
      <c r="C47" s="352"/>
      <c r="D47" s="352"/>
      <c r="E47" s="352"/>
      <c r="F47" s="352"/>
      <c r="G47" s="352"/>
      <c r="H47" s="97">
        <v>0.08</v>
      </c>
      <c r="I47" s="133">
        <f t="shared" si="0"/>
        <v>149.71</v>
      </c>
      <c r="J47" s="130">
        <f t="shared" si="1"/>
        <v>124.3168</v>
      </c>
      <c r="K47" s="360" t="s">
        <v>404</v>
      </c>
      <c r="L47" s="360"/>
    </row>
    <row r="48" spans="1:12" ht="15.75" customHeight="1">
      <c r="A48" s="351" t="s">
        <v>405</v>
      </c>
      <c r="B48" s="351"/>
      <c r="C48" s="351"/>
      <c r="D48" s="351"/>
      <c r="E48" s="351"/>
      <c r="F48" s="351"/>
      <c r="G48" s="351"/>
      <c r="H48" s="98">
        <f>SUM(H40:H47)</f>
        <v>0.34800000000000003</v>
      </c>
      <c r="I48" s="129">
        <f>SUM(I40:I47)</f>
        <v>651.25</v>
      </c>
      <c r="J48" s="137"/>
      <c r="K48" s="361" t="s">
        <v>406</v>
      </c>
      <c r="L48" s="361"/>
    </row>
    <row r="49" spans="1:12" ht="15.75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137"/>
      <c r="K49" s="150" t="s">
        <v>407</v>
      </c>
      <c r="L49" s="151">
        <v>1</v>
      </c>
    </row>
    <row r="50" spans="1:12" ht="15.75" customHeight="1">
      <c r="A50" s="351" t="s">
        <v>408</v>
      </c>
      <c r="B50" s="351"/>
      <c r="C50" s="351"/>
      <c r="D50" s="351"/>
      <c r="E50" s="351"/>
      <c r="F50" s="351"/>
      <c r="G50" s="351"/>
      <c r="H50" s="98"/>
      <c r="I50" s="96" t="s">
        <v>363</v>
      </c>
      <c r="J50" s="137"/>
      <c r="K50" s="367" t="s">
        <v>409</v>
      </c>
      <c r="L50" s="368">
        <f>L41</f>
        <v>3624.0624032000001</v>
      </c>
    </row>
    <row r="51" spans="1:12" ht="15.75" customHeight="1">
      <c r="A51" s="95" t="s">
        <v>319</v>
      </c>
      <c r="B51" s="357" t="s">
        <v>410</v>
      </c>
      <c r="C51" s="357"/>
      <c r="D51" s="357"/>
      <c r="E51" s="357"/>
      <c r="F51" s="357"/>
      <c r="G51" s="357"/>
      <c r="H51" s="99" t="s">
        <v>303</v>
      </c>
      <c r="I51" s="128">
        <v>0</v>
      </c>
      <c r="J51" s="130">
        <f t="shared" ref="J51:J54" si="2">I51</f>
        <v>0</v>
      </c>
      <c r="K51" s="367"/>
      <c r="L51" s="368"/>
    </row>
    <row r="52" spans="1:12" ht="15.75" customHeight="1">
      <c r="A52" s="95" t="s">
        <v>322</v>
      </c>
      <c r="B52" s="357" t="s">
        <v>411</v>
      </c>
      <c r="C52" s="357"/>
      <c r="D52" s="357"/>
      <c r="E52" s="357"/>
      <c r="F52" s="357"/>
      <c r="G52" s="357"/>
      <c r="H52" s="63" t="s">
        <v>303</v>
      </c>
      <c r="I52" s="128">
        <v>473.82</v>
      </c>
      <c r="J52" s="130">
        <f t="shared" si="2"/>
        <v>473.82</v>
      </c>
      <c r="K52" s="367"/>
      <c r="L52" s="368"/>
    </row>
    <row r="53" spans="1:12" ht="15.75" customHeight="1">
      <c r="A53" s="95" t="s">
        <v>326</v>
      </c>
      <c r="B53" s="357" t="s">
        <v>412</v>
      </c>
      <c r="C53" s="357"/>
      <c r="D53" s="357"/>
      <c r="E53" s="357"/>
      <c r="F53" s="357"/>
      <c r="G53" s="357"/>
      <c r="H53" s="63" t="s">
        <v>303</v>
      </c>
      <c r="I53" s="128">
        <f>(52.15+78.22)*0.4</f>
        <v>52.148000000000003</v>
      </c>
      <c r="J53" s="130">
        <f t="shared" si="2"/>
        <v>52.148000000000003</v>
      </c>
      <c r="K53" s="153" t="s">
        <v>413</v>
      </c>
      <c r="L53" s="152">
        <f>I139</f>
        <v>3938.9279999999999</v>
      </c>
    </row>
    <row r="54" spans="1:12" ht="15.75" customHeight="1">
      <c r="A54" s="95" t="s">
        <v>330</v>
      </c>
      <c r="B54" s="357" t="s">
        <v>414</v>
      </c>
      <c r="C54" s="357"/>
      <c r="D54" s="357"/>
      <c r="E54" s="357"/>
      <c r="F54" s="357"/>
      <c r="G54" s="357"/>
      <c r="H54" s="63" t="s">
        <v>303</v>
      </c>
      <c r="I54" s="128">
        <f>ROUND((I23*26)*0.002/12,2)</f>
        <v>6.73</v>
      </c>
      <c r="J54" s="130">
        <f t="shared" si="2"/>
        <v>6.73</v>
      </c>
      <c r="K54" s="154" t="s">
        <v>415</v>
      </c>
      <c r="L54" s="155">
        <f>L41</f>
        <v>3624.0624032000001</v>
      </c>
    </row>
    <row r="55" spans="1:12" ht="15.75" customHeight="1">
      <c r="A55" s="351" t="s">
        <v>416</v>
      </c>
      <c r="B55" s="351"/>
      <c r="C55" s="351"/>
      <c r="D55" s="351"/>
      <c r="E55" s="351"/>
      <c r="F55" s="351"/>
      <c r="G55" s="351"/>
      <c r="H55" s="351"/>
      <c r="I55" s="129">
        <f>SUM(I51:I54)</f>
        <v>532.69799999999998</v>
      </c>
      <c r="J55" s="134"/>
      <c r="K55" s="156" t="s">
        <v>417</v>
      </c>
      <c r="L55" s="157">
        <f>L53-L54</f>
        <v>314.86559679999982</v>
      </c>
    </row>
    <row r="56" spans="1:12" ht="15.75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134"/>
      <c r="K56" s="158" t="s">
        <v>418</v>
      </c>
      <c r="L56" s="159">
        <f>SUM(I68:I71,I96,I104,I113)</f>
        <v>383.34000000000003</v>
      </c>
    </row>
    <row r="57" spans="1:12" ht="15.75" customHeight="1">
      <c r="A57" s="351" t="s">
        <v>419</v>
      </c>
      <c r="B57" s="351"/>
      <c r="C57" s="351"/>
      <c r="D57" s="351"/>
      <c r="E57" s="351"/>
      <c r="F57" s="351"/>
      <c r="G57" s="351"/>
      <c r="H57" s="351"/>
      <c r="I57" s="351"/>
      <c r="J57" s="134"/>
      <c r="K57" s="158" t="s">
        <v>420</v>
      </c>
      <c r="L57" s="160">
        <f>L55-L56</f>
        <v>-68.474403200000211</v>
      </c>
    </row>
    <row r="58" spans="1:12" ht="15.75" customHeight="1">
      <c r="A58" s="351" t="s">
        <v>421</v>
      </c>
      <c r="B58" s="351"/>
      <c r="C58" s="351"/>
      <c r="D58" s="351"/>
      <c r="E58" s="351"/>
      <c r="F58" s="351"/>
      <c r="G58" s="351"/>
      <c r="H58" s="351"/>
      <c r="I58" s="96" t="s">
        <v>363</v>
      </c>
      <c r="J58" s="134"/>
      <c r="K58" s="161" t="s">
        <v>422</v>
      </c>
      <c r="L58" s="162">
        <f>ROUND(L57*L49,2)</f>
        <v>-68.47</v>
      </c>
    </row>
    <row r="59" spans="1:12" ht="15.75" customHeight="1">
      <c r="A59" s="95" t="s">
        <v>215</v>
      </c>
      <c r="B59" s="352" t="s">
        <v>423</v>
      </c>
      <c r="C59" s="352"/>
      <c r="D59" s="352"/>
      <c r="E59" s="352"/>
      <c r="F59" s="352"/>
      <c r="G59" s="352"/>
      <c r="H59" s="352"/>
      <c r="I59" s="133">
        <f>I35</f>
        <v>317.47000000000003</v>
      </c>
      <c r="J59" s="134"/>
      <c r="K59" s="161" t="s">
        <v>424</v>
      </c>
      <c r="L59" s="162">
        <f>ROUND((L57*12)*L49,2)</f>
        <v>-821.69</v>
      </c>
    </row>
    <row r="60" spans="1:12" ht="15.75" customHeight="1">
      <c r="A60" s="95" t="s">
        <v>245</v>
      </c>
      <c r="B60" s="352" t="s">
        <v>425</v>
      </c>
      <c r="C60" s="352"/>
      <c r="D60" s="352"/>
      <c r="E60" s="352"/>
      <c r="F60" s="352"/>
      <c r="G60" s="352"/>
      <c r="H60" s="352"/>
      <c r="I60" s="133">
        <f>I48</f>
        <v>651.25</v>
      </c>
      <c r="J60" s="134"/>
      <c r="K60" s="372" t="s">
        <v>426</v>
      </c>
      <c r="L60" s="372"/>
    </row>
    <row r="61" spans="1:12" ht="15.75" customHeight="1">
      <c r="A61" s="95" t="s">
        <v>257</v>
      </c>
      <c r="B61" s="352" t="s">
        <v>427</v>
      </c>
      <c r="C61" s="352"/>
      <c r="D61" s="352"/>
      <c r="E61" s="352"/>
      <c r="F61" s="352"/>
      <c r="G61" s="352"/>
      <c r="H61" s="352"/>
      <c r="I61" s="133">
        <f>I55</f>
        <v>532.69799999999998</v>
      </c>
      <c r="J61" s="134"/>
      <c r="K61" s="372"/>
      <c r="L61" s="372"/>
    </row>
    <row r="62" spans="1:12" ht="15.75" customHeight="1">
      <c r="A62" s="351" t="s">
        <v>428</v>
      </c>
      <c r="B62" s="351"/>
      <c r="C62" s="351"/>
      <c r="D62" s="351"/>
      <c r="E62" s="351"/>
      <c r="F62" s="351"/>
      <c r="G62" s="351"/>
      <c r="H62" s="351"/>
      <c r="I62" s="129">
        <f>SUM(I59:I61)</f>
        <v>1501.4180000000001</v>
      </c>
      <c r="J62" s="134"/>
      <c r="K62" s="372"/>
      <c r="L62" s="372"/>
    </row>
    <row r="63" spans="1:12" ht="15.75" customHeight="1">
      <c r="A63" s="370" t="s">
        <v>429</v>
      </c>
      <c r="B63" s="370"/>
      <c r="C63" s="370"/>
      <c r="D63" s="370"/>
      <c r="E63" s="370"/>
      <c r="F63" s="370"/>
      <c r="G63" s="358" t="s">
        <v>386</v>
      </c>
      <c r="H63" s="358"/>
      <c r="I63" s="135">
        <f>I29</f>
        <v>1553.96</v>
      </c>
      <c r="J63" s="134"/>
      <c r="K63" s="372"/>
      <c r="L63" s="372"/>
    </row>
    <row r="64" spans="1:12" ht="15.75" customHeight="1">
      <c r="A64" s="370"/>
      <c r="B64" s="370"/>
      <c r="C64" s="370"/>
      <c r="D64" s="370"/>
      <c r="E64" s="370"/>
      <c r="F64" s="370"/>
      <c r="G64" s="358" t="s">
        <v>430</v>
      </c>
      <c r="H64" s="358"/>
      <c r="I64" s="135">
        <f>I62</f>
        <v>1501.4180000000001</v>
      </c>
      <c r="J64" s="134"/>
      <c r="K64" s="372"/>
      <c r="L64" s="372"/>
    </row>
    <row r="65" spans="1:12" ht="15.75" customHeight="1">
      <c r="A65" s="370"/>
      <c r="B65" s="370"/>
      <c r="C65" s="370"/>
      <c r="D65" s="370"/>
      <c r="E65" s="370"/>
      <c r="F65" s="370"/>
      <c r="G65" s="359" t="s">
        <v>389</v>
      </c>
      <c r="H65" s="359"/>
      <c r="I65" s="140">
        <f>SUM(I63:I64)</f>
        <v>3055.3780000000002</v>
      </c>
      <c r="J65" s="134"/>
      <c r="K65" s="372"/>
      <c r="L65" s="372"/>
    </row>
    <row r="66" spans="1:12" ht="27.75" customHeight="1">
      <c r="A66" s="351" t="s">
        <v>431</v>
      </c>
      <c r="B66" s="351"/>
      <c r="C66" s="351"/>
      <c r="D66" s="351"/>
      <c r="E66" s="351"/>
      <c r="F66" s="351"/>
      <c r="G66" s="351"/>
      <c r="H66" s="351"/>
      <c r="I66" s="351"/>
      <c r="J66" s="134"/>
      <c r="K66" s="372"/>
      <c r="L66" s="372"/>
    </row>
    <row r="67" spans="1:12" ht="15.75" customHeight="1">
      <c r="A67" s="95">
        <v>3</v>
      </c>
      <c r="B67" s="351" t="s">
        <v>432</v>
      </c>
      <c r="C67" s="351"/>
      <c r="D67" s="351"/>
      <c r="E67" s="351"/>
      <c r="F67" s="351"/>
      <c r="G67" s="351"/>
      <c r="H67" s="96" t="s">
        <v>362</v>
      </c>
      <c r="I67" s="96" t="s">
        <v>363</v>
      </c>
      <c r="J67" s="134"/>
      <c r="K67" s="372"/>
      <c r="L67" s="372"/>
    </row>
    <row r="68" spans="1:12" ht="15.75" customHeight="1">
      <c r="A68" s="95" t="s">
        <v>319</v>
      </c>
      <c r="B68" s="352" t="s">
        <v>433</v>
      </c>
      <c r="C68" s="352"/>
      <c r="D68" s="352"/>
      <c r="E68" s="352"/>
      <c r="F68" s="352"/>
      <c r="G68" s="352"/>
      <c r="H68" s="97">
        <f>ROUND(((1/12)*5%),4)</f>
        <v>4.1999999999999997E-3</v>
      </c>
      <c r="I68" s="133">
        <f>ROUND(H68*$I$65,2)</f>
        <v>12.83</v>
      </c>
      <c r="J68" s="134"/>
      <c r="K68" s="372"/>
      <c r="L68" s="372"/>
    </row>
    <row r="69" spans="1:12" ht="15.75" customHeight="1">
      <c r="A69" s="95" t="s">
        <v>322</v>
      </c>
      <c r="B69" s="352" t="s">
        <v>434</v>
      </c>
      <c r="C69" s="352"/>
      <c r="D69" s="352"/>
      <c r="E69" s="352"/>
      <c r="F69" s="352"/>
      <c r="G69" s="352"/>
      <c r="H69" s="97">
        <f>TRUNC(H68*H47,4)</f>
        <v>2.9999999999999997E-4</v>
      </c>
      <c r="I69" s="133">
        <f>ROUND(H69*$I$65,2)</f>
        <v>0.92</v>
      </c>
      <c r="J69" s="134"/>
      <c r="K69" s="372"/>
      <c r="L69" s="372"/>
    </row>
    <row r="70" spans="1:12" ht="15.75" customHeight="1">
      <c r="A70" s="95" t="s">
        <v>326</v>
      </c>
      <c r="B70" s="352" t="s">
        <v>435</v>
      </c>
      <c r="C70" s="352"/>
      <c r="D70" s="352"/>
      <c r="E70" s="352"/>
      <c r="F70" s="352"/>
      <c r="G70" s="352"/>
      <c r="H70" s="97">
        <f>ROUND(((7/30)/12)*95%,4)</f>
        <v>1.8499999999999999E-2</v>
      </c>
      <c r="I70" s="133">
        <f>ROUND(H70*$I$65,2)</f>
        <v>56.52</v>
      </c>
      <c r="J70" s="134"/>
      <c r="K70" s="109"/>
      <c r="L70" s="109"/>
    </row>
    <row r="71" spans="1:12" ht="15.75" customHeight="1">
      <c r="A71" s="95" t="s">
        <v>330</v>
      </c>
      <c r="B71" s="363" t="s">
        <v>436</v>
      </c>
      <c r="C71" s="363"/>
      <c r="D71" s="363"/>
      <c r="E71" s="363"/>
      <c r="F71" s="363"/>
      <c r="G71" s="363"/>
      <c r="H71" s="97">
        <f>ROUND(H70*H48,4)</f>
        <v>6.4000000000000003E-3</v>
      </c>
      <c r="I71" s="133">
        <f>ROUND(H71*$I$65,2)</f>
        <v>19.55</v>
      </c>
      <c r="J71" s="134"/>
      <c r="K71" s="109"/>
      <c r="L71" s="109"/>
    </row>
    <row r="72" spans="1:12" ht="15.75" customHeight="1">
      <c r="A72" s="95" t="s">
        <v>372</v>
      </c>
      <c r="B72" s="352" t="s">
        <v>437</v>
      </c>
      <c r="C72" s="352"/>
      <c r="D72" s="352"/>
      <c r="E72" s="352"/>
      <c r="F72" s="352"/>
      <c r="G72" s="352"/>
      <c r="H72" s="97">
        <v>0.04</v>
      </c>
      <c r="I72" s="133">
        <f>ROUND(H72*$I$65,2)</f>
        <v>122.22</v>
      </c>
      <c r="J72" s="130">
        <f>I72</f>
        <v>122.22</v>
      </c>
      <c r="K72" s="109"/>
      <c r="L72" s="109"/>
    </row>
    <row r="73" spans="1:12" ht="15.75" customHeight="1">
      <c r="A73" s="351" t="s">
        <v>438</v>
      </c>
      <c r="B73" s="351"/>
      <c r="C73" s="351"/>
      <c r="D73" s="351"/>
      <c r="E73" s="351"/>
      <c r="F73" s="351"/>
      <c r="G73" s="351"/>
      <c r="H73" s="98">
        <f>SUM(H68:H72)</f>
        <v>6.9400000000000003E-2</v>
      </c>
      <c r="I73" s="129">
        <f>SUM(I68:I72)</f>
        <v>212.04000000000002</v>
      </c>
      <c r="J73" s="134"/>
      <c r="K73" s="179"/>
      <c r="L73" s="109"/>
    </row>
    <row r="74" spans="1:12" ht="15.75" customHeight="1">
      <c r="A74" s="371" t="s">
        <v>439</v>
      </c>
      <c r="B74" s="371"/>
      <c r="C74" s="371"/>
      <c r="D74" s="371"/>
      <c r="E74" s="371"/>
      <c r="F74" s="371"/>
      <c r="G74" s="358" t="s">
        <v>386</v>
      </c>
      <c r="H74" s="358"/>
      <c r="I74" s="135">
        <f>I29</f>
        <v>1553.96</v>
      </c>
      <c r="J74" s="134"/>
      <c r="K74" s="179"/>
      <c r="L74" s="109"/>
    </row>
    <row r="75" spans="1:12" ht="15.75" customHeight="1">
      <c r="A75" s="371"/>
      <c r="B75" s="371"/>
      <c r="C75" s="371"/>
      <c r="D75" s="371"/>
      <c r="E75" s="371"/>
      <c r="F75" s="371"/>
      <c r="G75" s="358" t="s">
        <v>430</v>
      </c>
      <c r="H75" s="358"/>
      <c r="I75" s="135">
        <f>I62</f>
        <v>1501.4180000000001</v>
      </c>
      <c r="J75" s="134"/>
      <c r="K75" s="179"/>
      <c r="L75" s="109"/>
    </row>
    <row r="76" spans="1:12" ht="15.75" customHeight="1">
      <c r="A76" s="371"/>
      <c r="B76" s="371"/>
      <c r="C76" s="371"/>
      <c r="D76" s="371"/>
      <c r="E76" s="371"/>
      <c r="F76" s="371"/>
      <c r="G76" s="358" t="s">
        <v>440</v>
      </c>
      <c r="H76" s="358"/>
      <c r="I76" s="135">
        <f>I73</f>
        <v>212.04000000000002</v>
      </c>
      <c r="J76" s="134"/>
      <c r="K76" s="179"/>
      <c r="L76" s="109"/>
    </row>
    <row r="77" spans="1:12" ht="15.75" customHeight="1">
      <c r="A77" s="371"/>
      <c r="B77" s="371"/>
      <c r="C77" s="371"/>
      <c r="D77" s="371"/>
      <c r="E77" s="371"/>
      <c r="F77" s="371"/>
      <c r="G77" s="359" t="s">
        <v>389</v>
      </c>
      <c r="H77" s="359"/>
      <c r="I77" s="140">
        <f>SUM(I74:I76)</f>
        <v>3267.4180000000001</v>
      </c>
      <c r="J77" s="134"/>
      <c r="K77" s="179"/>
      <c r="L77" s="109"/>
    </row>
    <row r="78" spans="1:12" ht="15.75" customHeight="1">
      <c r="A78" s="351" t="s">
        <v>441</v>
      </c>
      <c r="B78" s="351"/>
      <c r="C78" s="351"/>
      <c r="D78" s="351"/>
      <c r="E78" s="351"/>
      <c r="F78" s="351"/>
      <c r="G78" s="351"/>
      <c r="H78" s="351"/>
      <c r="I78" s="351"/>
      <c r="J78" s="131"/>
      <c r="K78" s="179"/>
      <c r="L78" s="109"/>
    </row>
    <row r="79" spans="1:12" ht="15.75" customHeight="1">
      <c r="A79" s="351" t="s">
        <v>442</v>
      </c>
      <c r="B79" s="351"/>
      <c r="C79" s="351"/>
      <c r="D79" s="351"/>
      <c r="E79" s="351"/>
      <c r="F79" s="351"/>
      <c r="G79" s="351"/>
      <c r="H79" s="96" t="s">
        <v>362</v>
      </c>
      <c r="I79" s="96" t="s">
        <v>363</v>
      </c>
      <c r="J79" s="134"/>
      <c r="K79" s="179"/>
      <c r="L79" s="180"/>
    </row>
    <row r="80" spans="1:12" ht="15.75" customHeight="1">
      <c r="A80" s="95" t="s">
        <v>319</v>
      </c>
      <c r="B80" s="352" t="s">
        <v>443</v>
      </c>
      <c r="C80" s="352"/>
      <c r="D80" s="352"/>
      <c r="E80" s="352"/>
      <c r="F80" s="352"/>
      <c r="G80" s="352"/>
      <c r="H80" s="97">
        <f>ROUND(((1+1/3)/12)/12,4)</f>
        <v>9.2999999999999992E-3</v>
      </c>
      <c r="I80" s="133">
        <f t="shared" ref="I80:I85" si="3">ROUND(H80*$I$77,2)</f>
        <v>30.39</v>
      </c>
      <c r="J80" s="134"/>
      <c r="K80" s="179"/>
      <c r="L80" s="109"/>
    </row>
    <row r="81" spans="1:12" ht="15.75" customHeight="1">
      <c r="A81" s="95" t="s">
        <v>322</v>
      </c>
      <c r="B81" s="352" t="s">
        <v>444</v>
      </c>
      <c r="C81" s="352"/>
      <c r="D81" s="352"/>
      <c r="E81" s="352"/>
      <c r="F81" s="352"/>
      <c r="G81" s="352"/>
      <c r="H81" s="97">
        <f>ROUND(2/30/12,4)</f>
        <v>5.5999999999999999E-3</v>
      </c>
      <c r="I81" s="133">
        <f t="shared" si="3"/>
        <v>18.3</v>
      </c>
      <c r="J81" s="134"/>
      <c r="K81" s="109"/>
      <c r="L81" s="109"/>
    </row>
    <row r="82" spans="1:12" ht="15.75" customHeight="1">
      <c r="A82" s="95" t="s">
        <v>326</v>
      </c>
      <c r="B82" s="352" t="s">
        <v>445</v>
      </c>
      <c r="C82" s="352"/>
      <c r="D82" s="352"/>
      <c r="E82" s="352"/>
      <c r="F82" s="352"/>
      <c r="G82" s="352"/>
      <c r="H82" s="97">
        <f>ROUND(((5/30)/12)*2%,4)</f>
        <v>2.9999999999999997E-4</v>
      </c>
      <c r="I82" s="133">
        <f t="shared" si="3"/>
        <v>0.98</v>
      </c>
      <c r="J82" s="134"/>
      <c r="K82" s="109"/>
      <c r="L82" s="109"/>
    </row>
    <row r="83" spans="1:12" ht="15.75" customHeight="1">
      <c r="A83" s="95" t="s">
        <v>330</v>
      </c>
      <c r="B83" s="352" t="s">
        <v>446</v>
      </c>
      <c r="C83" s="352"/>
      <c r="D83" s="352"/>
      <c r="E83" s="352"/>
      <c r="F83" s="352"/>
      <c r="G83" s="352"/>
      <c r="H83" s="97">
        <f>ROUND(((15/30)/12)*8%,4)</f>
        <v>3.3E-3</v>
      </c>
      <c r="I83" s="133">
        <f t="shared" si="3"/>
        <v>10.78</v>
      </c>
      <c r="J83" s="134"/>
      <c r="K83" s="109"/>
      <c r="L83" s="109"/>
    </row>
    <row r="84" spans="1:12" ht="15.75" customHeight="1">
      <c r="A84" s="95" t="s">
        <v>372</v>
      </c>
      <c r="B84" s="352" t="s">
        <v>447</v>
      </c>
      <c r="C84" s="352"/>
      <c r="D84" s="352"/>
      <c r="E84" s="352"/>
      <c r="F84" s="352"/>
      <c r="G84" s="352"/>
      <c r="H84" s="97">
        <f>ROUND(((1+1/3)/12*4/12)*2%,4)</f>
        <v>6.9999999999999999E-4</v>
      </c>
      <c r="I84" s="133">
        <f t="shared" si="3"/>
        <v>2.29</v>
      </c>
      <c r="J84" s="134"/>
      <c r="K84" s="109"/>
      <c r="L84" s="109"/>
    </row>
    <row r="85" spans="1:12" ht="15.75" customHeight="1">
      <c r="A85" s="95" t="s">
        <v>374</v>
      </c>
      <c r="B85" s="352" t="s">
        <v>448</v>
      </c>
      <c r="C85" s="352"/>
      <c r="D85" s="352"/>
      <c r="E85" s="352"/>
      <c r="F85" s="352"/>
      <c r="G85" s="352"/>
      <c r="H85" s="97">
        <v>0</v>
      </c>
      <c r="I85" s="133">
        <f t="shared" si="3"/>
        <v>0</v>
      </c>
      <c r="J85" s="134"/>
      <c r="K85" s="109"/>
      <c r="L85" s="109"/>
    </row>
    <row r="86" spans="1:12" ht="15.75" customHeight="1">
      <c r="A86" s="351" t="s">
        <v>449</v>
      </c>
      <c r="B86" s="351"/>
      <c r="C86" s="351"/>
      <c r="D86" s="351"/>
      <c r="E86" s="351"/>
      <c r="F86" s="351"/>
      <c r="G86" s="351"/>
      <c r="H86" s="98">
        <f>SUM(H80:H85)</f>
        <v>1.9199999999999998E-2</v>
      </c>
      <c r="I86" s="129">
        <f>SUM(I80:I85)</f>
        <v>62.739999999999995</v>
      </c>
      <c r="J86" s="134"/>
      <c r="K86" s="109"/>
      <c r="L86" s="181"/>
    </row>
    <row r="87" spans="1:12" ht="15.75" customHeight="1">
      <c r="A87" s="362"/>
      <c r="B87" s="362"/>
      <c r="C87" s="362"/>
      <c r="D87" s="362"/>
      <c r="E87" s="362"/>
      <c r="F87" s="362"/>
      <c r="G87" s="362"/>
      <c r="H87" s="362"/>
      <c r="I87" s="362"/>
      <c r="J87" s="134"/>
      <c r="K87" s="182"/>
      <c r="L87" s="109"/>
    </row>
    <row r="88" spans="1:12" ht="15.75" customHeight="1">
      <c r="A88" s="351" t="s">
        <v>450</v>
      </c>
      <c r="B88" s="351"/>
      <c r="C88" s="351"/>
      <c r="D88" s="351"/>
      <c r="E88" s="351"/>
      <c r="F88" s="351"/>
      <c r="G88" s="351"/>
      <c r="H88" s="96" t="s">
        <v>362</v>
      </c>
      <c r="I88" s="96" t="s">
        <v>363</v>
      </c>
      <c r="J88" s="134"/>
      <c r="K88" s="109"/>
      <c r="L88" s="109"/>
    </row>
    <row r="89" spans="1:12" ht="15.75" customHeight="1">
      <c r="A89" s="95" t="s">
        <v>319</v>
      </c>
      <c r="B89" s="352" t="s">
        <v>451</v>
      </c>
      <c r="C89" s="352"/>
      <c r="D89" s="352"/>
      <c r="E89" s="352"/>
      <c r="F89" s="352"/>
      <c r="G89" s="352"/>
      <c r="H89" s="97">
        <v>0</v>
      </c>
      <c r="I89" s="133">
        <f>I29*H89</f>
        <v>0</v>
      </c>
      <c r="J89" s="134"/>
      <c r="K89" s="109"/>
      <c r="L89" s="109"/>
    </row>
    <row r="90" spans="1:12" ht="15.75" customHeight="1">
      <c r="A90" s="351" t="s">
        <v>452</v>
      </c>
      <c r="B90" s="351"/>
      <c r="C90" s="351"/>
      <c r="D90" s="351"/>
      <c r="E90" s="351"/>
      <c r="F90" s="351"/>
      <c r="G90" s="351"/>
      <c r="H90" s="98">
        <f>H89</f>
        <v>0</v>
      </c>
      <c r="I90" s="129">
        <f>I89</f>
        <v>0</v>
      </c>
      <c r="J90" s="134"/>
      <c r="K90" s="183"/>
      <c r="L90" s="109"/>
    </row>
    <row r="91" spans="1:12" ht="15.75" customHeight="1">
      <c r="A91" s="362"/>
      <c r="B91" s="362"/>
      <c r="C91" s="362"/>
      <c r="D91" s="362"/>
      <c r="E91" s="362"/>
      <c r="F91" s="362"/>
      <c r="G91" s="362"/>
      <c r="H91" s="362"/>
      <c r="I91" s="362"/>
      <c r="J91" s="134"/>
      <c r="K91" s="109"/>
      <c r="L91" s="109"/>
    </row>
    <row r="92" spans="1:12" ht="15.75" customHeight="1">
      <c r="A92" s="351" t="s">
        <v>453</v>
      </c>
      <c r="B92" s="351"/>
      <c r="C92" s="351"/>
      <c r="D92" s="351"/>
      <c r="E92" s="351"/>
      <c r="F92" s="351"/>
      <c r="G92" s="351"/>
      <c r="H92" s="351"/>
      <c r="I92" s="351"/>
      <c r="J92" s="134"/>
      <c r="K92" s="109"/>
      <c r="L92" s="109"/>
    </row>
    <row r="93" spans="1:12" ht="15.75" customHeight="1">
      <c r="A93" s="351" t="s">
        <v>454</v>
      </c>
      <c r="B93" s="351"/>
      <c r="C93" s="351"/>
      <c r="D93" s="351"/>
      <c r="E93" s="351"/>
      <c r="F93" s="351"/>
      <c r="G93" s="351"/>
      <c r="H93" s="351"/>
      <c r="I93" s="96" t="s">
        <v>363</v>
      </c>
      <c r="J93" s="134"/>
      <c r="K93" s="109"/>
      <c r="L93" s="109"/>
    </row>
    <row r="94" spans="1:12" ht="15.75" customHeight="1">
      <c r="A94" s="95" t="s">
        <v>455</v>
      </c>
      <c r="B94" s="352" t="s">
        <v>456</v>
      </c>
      <c r="C94" s="352"/>
      <c r="D94" s="352"/>
      <c r="E94" s="352"/>
      <c r="F94" s="352"/>
      <c r="G94" s="352"/>
      <c r="H94" s="352"/>
      <c r="I94" s="133">
        <f>I86</f>
        <v>62.739999999999995</v>
      </c>
      <c r="J94" s="134"/>
      <c r="K94" s="109"/>
      <c r="L94" s="109"/>
    </row>
    <row r="95" spans="1:12" ht="15.75" customHeight="1">
      <c r="A95" s="95" t="s">
        <v>457</v>
      </c>
      <c r="B95" s="352" t="s">
        <v>458</v>
      </c>
      <c r="C95" s="352"/>
      <c r="D95" s="352"/>
      <c r="E95" s="352"/>
      <c r="F95" s="352"/>
      <c r="G95" s="352"/>
      <c r="H95" s="352"/>
      <c r="I95" s="133">
        <f>I90</f>
        <v>0</v>
      </c>
      <c r="J95" s="134"/>
      <c r="K95" s="109"/>
      <c r="L95" s="109"/>
    </row>
    <row r="96" spans="1:12" ht="15.75" customHeight="1">
      <c r="A96" s="351" t="s">
        <v>459</v>
      </c>
      <c r="B96" s="351"/>
      <c r="C96" s="351"/>
      <c r="D96" s="351"/>
      <c r="E96" s="351"/>
      <c r="F96" s="351"/>
      <c r="G96" s="351"/>
      <c r="H96" s="351"/>
      <c r="I96" s="129">
        <f>SUM(I94:I95)</f>
        <v>62.739999999999995</v>
      </c>
      <c r="J96" s="134"/>
      <c r="K96" s="109"/>
      <c r="L96" s="109"/>
    </row>
    <row r="97" spans="1:12" ht="15.75" customHeight="1">
      <c r="A97" s="362"/>
      <c r="B97" s="362"/>
      <c r="C97" s="362"/>
      <c r="D97" s="362"/>
      <c r="E97" s="362"/>
      <c r="F97" s="362"/>
      <c r="G97" s="362"/>
      <c r="H97" s="362"/>
      <c r="I97" s="362"/>
      <c r="J97" s="134"/>
      <c r="K97" s="109"/>
      <c r="L97" s="109"/>
    </row>
    <row r="98" spans="1:12" ht="15.75" customHeight="1">
      <c r="A98" s="351" t="s">
        <v>460</v>
      </c>
      <c r="B98" s="351"/>
      <c r="C98" s="351"/>
      <c r="D98" s="351"/>
      <c r="E98" s="351"/>
      <c r="F98" s="351"/>
      <c r="G98" s="351"/>
      <c r="H98" s="351"/>
      <c r="I98" s="351"/>
      <c r="J98" s="134"/>
      <c r="K98" s="109"/>
      <c r="L98" s="109"/>
    </row>
    <row r="99" spans="1:12" ht="15.75" customHeight="1">
      <c r="A99" s="96">
        <v>5</v>
      </c>
      <c r="B99" s="351" t="s">
        <v>461</v>
      </c>
      <c r="C99" s="351"/>
      <c r="D99" s="351"/>
      <c r="E99" s="351"/>
      <c r="F99" s="351"/>
      <c r="G99" s="351"/>
      <c r="H99" s="96"/>
      <c r="I99" s="96" t="s">
        <v>363</v>
      </c>
      <c r="J99" s="134"/>
      <c r="K99" s="109"/>
      <c r="L99" s="109"/>
    </row>
    <row r="100" spans="1:12" ht="15.75" customHeight="1">
      <c r="A100" s="163" t="s">
        <v>319</v>
      </c>
      <c r="B100" s="357" t="s">
        <v>462</v>
      </c>
      <c r="C100" s="357"/>
      <c r="D100" s="357"/>
      <c r="E100" s="357"/>
      <c r="F100" s="357"/>
      <c r="G100" s="357"/>
      <c r="H100" s="164" t="s">
        <v>303</v>
      </c>
      <c r="I100" s="403">
        <v>47.66</v>
      </c>
      <c r="J100" s="134"/>
      <c r="K100" s="109"/>
      <c r="L100" s="109"/>
    </row>
    <row r="101" spans="1:12" ht="15.75" customHeight="1">
      <c r="A101" s="163" t="s">
        <v>322</v>
      </c>
      <c r="B101" s="357" t="s">
        <v>463</v>
      </c>
      <c r="C101" s="357"/>
      <c r="D101" s="357"/>
      <c r="E101" s="357"/>
      <c r="F101" s="357"/>
      <c r="G101" s="357"/>
      <c r="H101" s="164" t="s">
        <v>303</v>
      </c>
      <c r="I101" s="403">
        <v>29.7</v>
      </c>
      <c r="J101" s="134"/>
      <c r="K101" s="109"/>
      <c r="L101" s="109"/>
    </row>
    <row r="102" spans="1:12" ht="15.75" customHeight="1">
      <c r="A102" s="163" t="s">
        <v>326</v>
      </c>
      <c r="B102" s="357" t="s">
        <v>464</v>
      </c>
      <c r="C102" s="357"/>
      <c r="D102" s="357"/>
      <c r="E102" s="357"/>
      <c r="F102" s="357"/>
      <c r="G102" s="357"/>
      <c r="H102" s="164" t="s">
        <v>303</v>
      </c>
      <c r="I102" s="403">
        <v>47.17</v>
      </c>
      <c r="J102" s="134"/>
      <c r="K102" s="109"/>
      <c r="L102" s="109"/>
    </row>
    <row r="103" spans="1:12" ht="15.75" customHeight="1">
      <c r="A103" s="163" t="s">
        <v>330</v>
      </c>
      <c r="B103" s="357" t="s">
        <v>465</v>
      </c>
      <c r="C103" s="357"/>
      <c r="D103" s="357"/>
      <c r="E103" s="357"/>
      <c r="F103" s="357"/>
      <c r="G103" s="357"/>
      <c r="H103" s="165" t="s">
        <v>303</v>
      </c>
      <c r="I103" s="403">
        <v>53.63</v>
      </c>
      <c r="J103" s="134"/>
      <c r="K103" s="109"/>
      <c r="L103" s="109"/>
    </row>
    <row r="104" spans="1:12" ht="15.75" customHeight="1">
      <c r="A104" s="351" t="s">
        <v>466</v>
      </c>
      <c r="B104" s="351"/>
      <c r="C104" s="351"/>
      <c r="D104" s="351"/>
      <c r="E104" s="351"/>
      <c r="F104" s="351"/>
      <c r="G104" s="351"/>
      <c r="H104" s="98" t="s">
        <v>303</v>
      </c>
      <c r="I104" s="129">
        <f>SUM(I100:I103)</f>
        <v>178.16</v>
      </c>
      <c r="J104" s="134"/>
      <c r="K104" s="109"/>
      <c r="L104" s="109"/>
    </row>
    <row r="105" spans="1:12" ht="15.75" customHeight="1">
      <c r="A105" s="371" t="s">
        <v>467</v>
      </c>
      <c r="B105" s="371"/>
      <c r="C105" s="371"/>
      <c r="D105" s="371"/>
      <c r="E105" s="371"/>
      <c r="F105" s="371"/>
      <c r="G105" s="358" t="s">
        <v>386</v>
      </c>
      <c r="H105" s="358"/>
      <c r="I105" s="135">
        <f>I29</f>
        <v>1553.96</v>
      </c>
      <c r="J105" s="134"/>
      <c r="K105" s="109"/>
      <c r="L105" s="109"/>
    </row>
    <row r="106" spans="1:12" ht="15.75" customHeight="1">
      <c r="A106" s="371"/>
      <c r="B106" s="371"/>
      <c r="C106" s="371"/>
      <c r="D106" s="371"/>
      <c r="E106" s="371"/>
      <c r="F106" s="371"/>
      <c r="G106" s="358" t="s">
        <v>430</v>
      </c>
      <c r="H106" s="358"/>
      <c r="I106" s="135">
        <f>I62</f>
        <v>1501.4180000000001</v>
      </c>
      <c r="J106" s="134"/>
      <c r="K106" s="109"/>
      <c r="L106" s="109"/>
    </row>
    <row r="107" spans="1:12" ht="15.75" customHeight="1">
      <c r="A107" s="371"/>
      <c r="B107" s="371"/>
      <c r="C107" s="371"/>
      <c r="D107" s="371"/>
      <c r="E107" s="371"/>
      <c r="F107" s="371"/>
      <c r="G107" s="358" t="s">
        <v>440</v>
      </c>
      <c r="H107" s="358"/>
      <c r="I107" s="135">
        <f>I73</f>
        <v>212.04000000000002</v>
      </c>
      <c r="J107" s="134"/>
      <c r="K107" s="109"/>
      <c r="L107" s="109"/>
    </row>
    <row r="108" spans="1:12" ht="15.75" customHeight="1">
      <c r="A108" s="371"/>
      <c r="B108" s="371"/>
      <c r="C108" s="371"/>
      <c r="D108" s="371"/>
      <c r="E108" s="371"/>
      <c r="F108" s="371"/>
      <c r="G108" s="358" t="s">
        <v>468</v>
      </c>
      <c r="H108" s="358"/>
      <c r="I108" s="135">
        <f>I96</f>
        <v>62.739999999999995</v>
      </c>
      <c r="J108" s="134"/>
      <c r="K108" s="141"/>
      <c r="L108" s="141"/>
    </row>
    <row r="109" spans="1:12" ht="15.75" customHeight="1">
      <c r="A109" s="371"/>
      <c r="B109" s="371"/>
      <c r="C109" s="371"/>
      <c r="D109" s="371"/>
      <c r="E109" s="371"/>
      <c r="F109" s="371"/>
      <c r="G109" s="358" t="s">
        <v>469</v>
      </c>
      <c r="H109" s="358"/>
      <c r="I109" s="135">
        <f>I104</f>
        <v>178.16</v>
      </c>
      <c r="J109" s="134"/>
      <c r="K109" s="141"/>
      <c r="L109" s="141"/>
    </row>
    <row r="110" spans="1:12" ht="15.75" customHeight="1">
      <c r="A110" s="371"/>
      <c r="B110" s="371"/>
      <c r="C110" s="371"/>
      <c r="D110" s="371"/>
      <c r="E110" s="371"/>
      <c r="F110" s="371"/>
      <c r="G110" s="359" t="s">
        <v>389</v>
      </c>
      <c r="H110" s="359"/>
      <c r="I110" s="140">
        <f>SUM(I105:I109)</f>
        <v>3508.3179999999998</v>
      </c>
      <c r="J110" s="134"/>
      <c r="K110" s="109"/>
      <c r="L110" s="109"/>
    </row>
    <row r="111" spans="1:12" ht="15.75" customHeight="1">
      <c r="A111" s="351" t="s">
        <v>470</v>
      </c>
      <c r="B111" s="351"/>
      <c r="C111" s="351"/>
      <c r="D111" s="351"/>
      <c r="E111" s="351"/>
      <c r="F111" s="351"/>
      <c r="G111" s="351"/>
      <c r="H111" s="351"/>
      <c r="I111" s="351"/>
      <c r="J111" s="134"/>
      <c r="K111" s="109"/>
      <c r="L111" s="109"/>
    </row>
    <row r="112" spans="1:12" ht="15.75" customHeight="1">
      <c r="A112" s="96">
        <v>6</v>
      </c>
      <c r="B112" s="351" t="s">
        <v>471</v>
      </c>
      <c r="C112" s="351"/>
      <c r="D112" s="351"/>
      <c r="E112" s="351"/>
      <c r="F112" s="351"/>
      <c r="G112" s="351"/>
      <c r="H112" s="96" t="s">
        <v>362</v>
      </c>
      <c r="I112" s="96" t="s">
        <v>363</v>
      </c>
      <c r="J112" s="134"/>
      <c r="K112" s="109"/>
      <c r="L112" s="109"/>
    </row>
    <row r="113" spans="1:12" ht="15.75" customHeight="1">
      <c r="A113" s="95" t="s">
        <v>319</v>
      </c>
      <c r="B113" s="352" t="s">
        <v>472</v>
      </c>
      <c r="C113" s="352"/>
      <c r="D113" s="352"/>
      <c r="E113" s="352"/>
      <c r="F113" s="352"/>
      <c r="G113" s="352"/>
      <c r="H113" s="404">
        <v>1.4999999999999999E-2</v>
      </c>
      <c r="I113" s="133">
        <f>ROUND(H113*I110,2)</f>
        <v>52.62</v>
      </c>
      <c r="J113" s="134"/>
      <c r="K113" s="109"/>
      <c r="L113" s="109"/>
    </row>
    <row r="114" spans="1:12" ht="15.75" customHeight="1">
      <c r="A114" s="95" t="s">
        <v>322</v>
      </c>
      <c r="B114" s="352" t="s">
        <v>473</v>
      </c>
      <c r="C114" s="352"/>
      <c r="D114" s="352"/>
      <c r="E114" s="352"/>
      <c r="F114" s="352"/>
      <c r="G114" s="352"/>
      <c r="H114" s="404">
        <v>1.4999999999999999E-2</v>
      </c>
      <c r="I114" s="133">
        <f>ROUND(H114*(I110+I113),2)</f>
        <v>53.41</v>
      </c>
      <c r="J114" s="134"/>
      <c r="K114" s="109"/>
      <c r="L114" s="109"/>
    </row>
    <row r="115" spans="1:12" ht="15.75" customHeight="1">
      <c r="A115" s="95" t="s">
        <v>326</v>
      </c>
      <c r="B115" s="364" t="s">
        <v>474</v>
      </c>
      <c r="C115" s="364"/>
      <c r="D115" s="364"/>
      <c r="E115" s="364"/>
      <c r="F115" s="364"/>
      <c r="G115" s="364"/>
      <c r="H115" s="97"/>
      <c r="I115" s="184"/>
      <c r="J115" s="134"/>
      <c r="K115" s="109"/>
      <c r="L115" s="109"/>
    </row>
    <row r="116" spans="1:12" ht="15.75" customHeight="1">
      <c r="A116" s="95" t="s">
        <v>475</v>
      </c>
      <c r="B116" s="352" t="s">
        <v>476</v>
      </c>
      <c r="C116" s="352"/>
      <c r="D116" s="352"/>
      <c r="E116" s="352"/>
      <c r="F116" s="352"/>
      <c r="G116" s="352"/>
      <c r="H116" s="404">
        <v>5.7999999999999996E-3</v>
      </c>
      <c r="I116" s="133">
        <f>ROUND($I$126*H116,2)</f>
        <v>22.85</v>
      </c>
      <c r="J116" s="134"/>
      <c r="K116" s="109"/>
      <c r="L116" s="109"/>
    </row>
    <row r="117" spans="1:12" ht="15.75" customHeight="1">
      <c r="A117" s="95" t="s">
        <v>477</v>
      </c>
      <c r="B117" s="352" t="s">
        <v>376</v>
      </c>
      <c r="C117" s="352"/>
      <c r="D117" s="352"/>
      <c r="E117" s="352"/>
      <c r="F117" s="352"/>
      <c r="G117" s="352"/>
      <c r="H117" s="404">
        <v>2.6599999999999999E-2</v>
      </c>
      <c r="I117" s="133">
        <f>ROUND($I$126*H117,2)</f>
        <v>104.78</v>
      </c>
      <c r="J117" s="134"/>
      <c r="K117" s="109"/>
      <c r="L117" s="109"/>
    </row>
    <row r="118" spans="1:12" ht="15.75" customHeight="1">
      <c r="A118" s="95" t="s">
        <v>478</v>
      </c>
      <c r="B118" s="352" t="s">
        <v>479</v>
      </c>
      <c r="C118" s="352"/>
      <c r="D118" s="352"/>
      <c r="E118" s="352"/>
      <c r="F118" s="352"/>
      <c r="G118" s="352"/>
      <c r="H118" s="167">
        <v>0.05</v>
      </c>
      <c r="I118" s="133">
        <f>ROUND($I$126*H118,2)</f>
        <v>196.95</v>
      </c>
      <c r="J118" s="134"/>
      <c r="K118" s="109"/>
      <c r="L118" s="109"/>
    </row>
    <row r="119" spans="1:12" ht="15.75" customHeight="1">
      <c r="A119" s="351" t="s">
        <v>480</v>
      </c>
      <c r="B119" s="351"/>
      <c r="C119" s="351"/>
      <c r="D119" s="351"/>
      <c r="E119" s="351"/>
      <c r="F119" s="351"/>
      <c r="G119" s="351"/>
      <c r="H119" s="168">
        <f>SUM(H113:H118)</f>
        <v>0.1124</v>
      </c>
      <c r="I119" s="129">
        <f>SUM(I113:I118)</f>
        <v>430.61</v>
      </c>
      <c r="J119" s="134"/>
      <c r="K119" s="109"/>
      <c r="L119" s="109"/>
    </row>
    <row r="120" spans="1:12" ht="15.75" customHeight="1">
      <c r="A120" s="169"/>
      <c r="B120" s="170"/>
      <c r="C120" s="170"/>
      <c r="D120" s="170"/>
      <c r="E120" s="170"/>
      <c r="F120" s="170"/>
      <c r="G120" s="170"/>
      <c r="H120" s="171"/>
      <c r="I120" s="185"/>
      <c r="J120" s="134"/>
      <c r="K120" s="109"/>
      <c r="L120" s="109"/>
    </row>
    <row r="121" spans="1:12" ht="15.75" customHeight="1">
      <c r="A121" s="172" t="s">
        <v>481</v>
      </c>
      <c r="B121" s="365" t="s">
        <v>482</v>
      </c>
      <c r="C121" s="365"/>
      <c r="D121" s="365"/>
      <c r="E121" s="365"/>
      <c r="F121" s="365"/>
      <c r="G121" s="365"/>
      <c r="H121" s="174">
        <f>SUM(H116+H117+H118)</f>
        <v>8.2400000000000001E-2</v>
      </c>
      <c r="I121" s="186"/>
      <c r="J121" s="134"/>
      <c r="K121" s="109"/>
      <c r="L121" s="109"/>
    </row>
    <row r="122" spans="1:12" ht="15.75" customHeight="1">
      <c r="A122" s="172"/>
      <c r="B122" s="365">
        <v>100</v>
      </c>
      <c r="C122" s="365"/>
      <c r="D122" s="365"/>
      <c r="E122" s="365"/>
      <c r="F122" s="365"/>
      <c r="G122" s="365"/>
      <c r="H122" s="174"/>
      <c r="I122" s="186"/>
      <c r="J122" s="134"/>
      <c r="K122" s="109"/>
      <c r="L122" s="109"/>
    </row>
    <row r="123" spans="1:12" ht="15.75" customHeight="1">
      <c r="A123" s="175"/>
      <c r="B123" s="176"/>
      <c r="C123" s="176"/>
      <c r="D123" s="176"/>
      <c r="E123" s="176"/>
      <c r="F123" s="176"/>
      <c r="G123" s="176"/>
      <c r="H123" s="176"/>
      <c r="I123" s="187"/>
      <c r="J123" s="134"/>
      <c r="K123" s="141"/>
      <c r="L123" s="141"/>
    </row>
    <row r="124" spans="1:12" ht="15.75" customHeight="1">
      <c r="A124" s="172" t="s">
        <v>483</v>
      </c>
      <c r="B124" s="365" t="s">
        <v>484</v>
      </c>
      <c r="C124" s="365"/>
      <c r="D124" s="365"/>
      <c r="E124" s="365"/>
      <c r="F124" s="365"/>
      <c r="G124" s="365"/>
      <c r="H124" s="174"/>
      <c r="I124" s="186">
        <f>I110+I113+I114</f>
        <v>3614.3479999999995</v>
      </c>
      <c r="J124" s="134"/>
      <c r="K124" s="109"/>
      <c r="L124" s="109"/>
    </row>
    <row r="125" spans="1:12" ht="15.75" customHeight="1">
      <c r="A125" s="177"/>
      <c r="B125" s="178"/>
      <c r="C125" s="178"/>
      <c r="D125" s="178"/>
      <c r="E125" s="178"/>
      <c r="F125" s="178"/>
      <c r="G125" s="178"/>
      <c r="H125" s="178"/>
      <c r="I125" s="188"/>
      <c r="J125" s="134"/>
      <c r="K125" s="109"/>
      <c r="L125" s="109"/>
    </row>
    <row r="126" spans="1:12" ht="15.75" customHeight="1">
      <c r="A126" s="172" t="s">
        <v>485</v>
      </c>
      <c r="B126" s="365" t="s">
        <v>486</v>
      </c>
      <c r="C126" s="365"/>
      <c r="D126" s="365"/>
      <c r="E126" s="365"/>
      <c r="F126" s="365"/>
      <c r="G126" s="365"/>
      <c r="H126" s="174"/>
      <c r="I126" s="186">
        <f>ROUND(I124/(1-H121),2)</f>
        <v>3938.91</v>
      </c>
      <c r="J126" s="134"/>
      <c r="K126" s="109"/>
      <c r="L126" s="109"/>
    </row>
    <row r="127" spans="1:12" ht="15.75" customHeight="1">
      <c r="A127" s="172"/>
      <c r="B127" s="173"/>
      <c r="C127" s="173"/>
      <c r="D127" s="173"/>
      <c r="E127" s="173"/>
      <c r="F127" s="173"/>
      <c r="G127" s="173"/>
      <c r="H127" s="174"/>
      <c r="I127" s="186"/>
      <c r="J127" s="134"/>
      <c r="K127" s="109"/>
      <c r="L127" s="109"/>
    </row>
    <row r="128" spans="1:12" ht="15.75" customHeight="1">
      <c r="A128" s="172"/>
      <c r="B128" s="365" t="s">
        <v>487</v>
      </c>
      <c r="C128" s="365"/>
      <c r="D128" s="365"/>
      <c r="E128" s="365"/>
      <c r="F128" s="365"/>
      <c r="G128" s="365"/>
      <c r="H128" s="174"/>
      <c r="I128" s="186">
        <f>I126-I124</f>
        <v>324.56200000000035</v>
      </c>
      <c r="J128" s="134"/>
      <c r="K128" s="109"/>
      <c r="L128" s="109"/>
    </row>
    <row r="129" spans="1:12" ht="15.75" customHeight="1">
      <c r="A129" s="172"/>
      <c r="B129" s="173"/>
      <c r="H129" s="174"/>
      <c r="I129" s="186"/>
      <c r="J129" s="134"/>
      <c r="K129" s="109"/>
      <c r="L129" s="109"/>
    </row>
    <row r="130" spans="1:12" ht="15.75" customHeight="1">
      <c r="A130" s="351" t="s">
        <v>488</v>
      </c>
      <c r="B130" s="351"/>
      <c r="C130" s="351"/>
      <c r="D130" s="351"/>
      <c r="E130" s="351"/>
      <c r="F130" s="351"/>
      <c r="G130" s="351"/>
      <c r="H130" s="351"/>
      <c r="I130" s="351"/>
      <c r="J130" s="134"/>
      <c r="K130" s="109"/>
      <c r="L130" s="109"/>
    </row>
    <row r="131" spans="1:12" ht="15.75" customHeight="1">
      <c r="A131" s="351" t="s">
        <v>489</v>
      </c>
      <c r="B131" s="351"/>
      <c r="C131" s="351"/>
      <c r="D131" s="351"/>
      <c r="E131" s="351"/>
      <c r="F131" s="351"/>
      <c r="G131" s="351"/>
      <c r="H131" s="351"/>
      <c r="I131" s="96" t="s">
        <v>363</v>
      </c>
      <c r="J131" s="134"/>
      <c r="K131" s="141"/>
      <c r="L131" s="141"/>
    </row>
    <row r="132" spans="1:12" ht="15.75" customHeight="1">
      <c r="A132" s="63" t="s">
        <v>319</v>
      </c>
      <c r="B132" s="352" t="str">
        <f>A21</f>
        <v>MÓDULO 1 - COMPOSIÇÃO DA REMUNERAÇÃO</v>
      </c>
      <c r="C132" s="352"/>
      <c r="D132" s="352"/>
      <c r="E132" s="352"/>
      <c r="F132" s="352"/>
      <c r="G132" s="352"/>
      <c r="H132" s="352"/>
      <c r="I132" s="189">
        <f>I29</f>
        <v>1553.96</v>
      </c>
      <c r="J132" s="134"/>
      <c r="K132" s="141"/>
      <c r="L132" s="141"/>
    </row>
    <row r="133" spans="1:12" ht="15.75" customHeight="1">
      <c r="A133" s="63" t="s">
        <v>322</v>
      </c>
      <c r="B133" s="352" t="str">
        <f>A31</f>
        <v>MÓDULO 2 – ENCARGOS E BENEFÍCIOS ANUAIS, MENSAIS E DIÁRIOS</v>
      </c>
      <c r="C133" s="352"/>
      <c r="D133" s="352"/>
      <c r="E133" s="352"/>
      <c r="F133" s="352"/>
      <c r="G133" s="352"/>
      <c r="H133" s="352"/>
      <c r="I133" s="189">
        <f>I62</f>
        <v>1501.4180000000001</v>
      </c>
      <c r="J133" s="134"/>
      <c r="K133" s="141"/>
      <c r="L133" s="141"/>
    </row>
    <row r="134" spans="1:12" ht="15.75" customHeight="1">
      <c r="A134" s="63" t="s">
        <v>326</v>
      </c>
      <c r="B134" s="352" t="str">
        <f>A66</f>
        <v>MÓDULO 3 – PROVISÃO PARA RESCISÃO</v>
      </c>
      <c r="C134" s="352"/>
      <c r="D134" s="352"/>
      <c r="E134" s="352"/>
      <c r="F134" s="352"/>
      <c r="G134" s="352"/>
      <c r="H134" s="352"/>
      <c r="I134" s="189">
        <f>I73</f>
        <v>212.04000000000002</v>
      </c>
      <c r="J134" s="134"/>
      <c r="K134" s="100"/>
      <c r="L134" s="100"/>
    </row>
    <row r="135" spans="1:12" ht="15.75" customHeight="1">
      <c r="A135" s="63" t="s">
        <v>330</v>
      </c>
      <c r="B135" s="352" t="str">
        <f>A78</f>
        <v>MÓDULO 4 – CUSTO DE REPOSIÇÃO DO PROFISSIONAL AUSENTE</v>
      </c>
      <c r="C135" s="352"/>
      <c r="D135" s="352"/>
      <c r="E135" s="352"/>
      <c r="F135" s="352"/>
      <c r="G135" s="352"/>
      <c r="H135" s="352"/>
      <c r="I135" s="189">
        <f>I96</f>
        <v>62.739999999999995</v>
      </c>
      <c r="J135" s="190"/>
      <c r="K135" s="100"/>
      <c r="L135" s="100"/>
    </row>
    <row r="136" spans="1:12" ht="15.75" customHeight="1">
      <c r="A136" s="63" t="s">
        <v>372</v>
      </c>
      <c r="B136" s="352" t="str">
        <f>A98</f>
        <v>MÓDULO 5 – INSUMOS DIVERSOS</v>
      </c>
      <c r="C136" s="352"/>
      <c r="D136" s="352"/>
      <c r="E136" s="352"/>
      <c r="F136" s="352"/>
      <c r="G136" s="352"/>
      <c r="H136" s="352"/>
      <c r="I136" s="189">
        <f>I104</f>
        <v>178.16</v>
      </c>
      <c r="J136" s="134"/>
      <c r="K136" s="100"/>
      <c r="L136" s="100"/>
    </row>
    <row r="137" spans="1:12" ht="15.75" customHeight="1">
      <c r="A137" s="351" t="s">
        <v>490</v>
      </c>
      <c r="B137" s="351"/>
      <c r="C137" s="351"/>
      <c r="D137" s="351"/>
      <c r="E137" s="351"/>
      <c r="F137" s="351"/>
      <c r="G137" s="351"/>
      <c r="H137" s="351"/>
      <c r="I137" s="129">
        <f>SUM(I132:I136)</f>
        <v>3508.3179999999998</v>
      </c>
      <c r="J137" s="134"/>
    </row>
    <row r="138" spans="1:12" ht="15.75" customHeight="1">
      <c r="A138" s="63" t="s">
        <v>374</v>
      </c>
      <c r="B138" s="352" t="str">
        <f>A111</f>
        <v>MÓDULO 6 – CUSTOS INDIRETOS, TRIBUTOS E LUCRO</v>
      </c>
      <c r="C138" s="352"/>
      <c r="D138" s="352"/>
      <c r="E138" s="352"/>
      <c r="F138" s="352"/>
      <c r="G138" s="352"/>
      <c r="H138" s="352"/>
      <c r="I138" s="189">
        <f>I119</f>
        <v>430.61</v>
      </c>
      <c r="J138" s="191">
        <f>SUM(J28:J137)</f>
        <v>2851.2740400000002</v>
      </c>
    </row>
    <row r="139" spans="1:12" ht="15.75" customHeight="1">
      <c r="A139" s="351" t="s">
        <v>491</v>
      </c>
      <c r="B139" s="351"/>
      <c r="C139" s="351"/>
      <c r="D139" s="351"/>
      <c r="E139" s="351"/>
      <c r="F139" s="351"/>
      <c r="G139" s="351"/>
      <c r="H139" s="351"/>
      <c r="I139" s="129">
        <f>SUM(I137:I138)</f>
        <v>3938.9279999999999</v>
      </c>
    </row>
    <row r="140" spans="1:12" ht="15.75" customHeight="1"/>
    <row r="141" spans="1:12" ht="15.75" customHeight="1"/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4" firstPageNumber="0" orientation="portrait" useFirstPageNumber="1" horizontalDpi="300" verticalDpi="300"/>
  <rowBreaks count="1" manualBreakCount="1">
    <brk id="140" max="16383" man="1"/>
  </rowBreaks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97"/>
  <sheetViews>
    <sheetView topLeftCell="G111" zoomScale="90" zoomScaleNormal="90" workbookViewId="0">
      <selection activeCell="H114" sqref="H114"/>
    </sheetView>
  </sheetViews>
  <sheetFormatPr defaultColWidth="9" defaultRowHeight="15"/>
  <cols>
    <col min="1" max="1" width="7.42578125" customWidth="1"/>
    <col min="2" max="2" width="10.85546875" customWidth="1"/>
    <col min="3" max="4" width="14.85546875" customWidth="1"/>
    <col min="5" max="5" width="12.42578125" customWidth="1"/>
    <col min="6" max="6" width="10.42578125" customWidth="1"/>
    <col min="7" max="7" width="14.7109375" customWidth="1"/>
    <col min="8" max="8" width="17.28515625" customWidth="1"/>
    <col min="9" max="9" width="28.5703125" customWidth="1"/>
    <col min="10" max="10" width="24.85546875" customWidth="1"/>
    <col min="11" max="11" width="24.7109375" customWidth="1"/>
    <col min="12" max="12" width="21.140625" customWidth="1"/>
    <col min="13" max="1025" width="14.42578125" customWidth="1"/>
  </cols>
  <sheetData>
    <row r="1" spans="1:12" ht="15.75">
      <c r="A1" s="348" t="s">
        <v>512</v>
      </c>
      <c r="B1" s="348"/>
      <c r="C1" s="348"/>
      <c r="D1" s="348"/>
      <c r="E1" s="348"/>
      <c r="F1" s="348"/>
      <c r="G1" s="348"/>
      <c r="H1" s="348"/>
      <c r="I1" s="348"/>
      <c r="J1" s="366" t="s">
        <v>315</v>
      </c>
      <c r="K1" s="100"/>
      <c r="L1" s="100"/>
    </row>
    <row r="2" spans="1:12" ht="15.75">
      <c r="A2" s="348"/>
      <c r="B2" s="348"/>
      <c r="C2" s="348"/>
      <c r="D2" s="348"/>
      <c r="E2" s="348"/>
      <c r="F2" s="348"/>
      <c r="G2" s="348"/>
      <c r="H2" s="348"/>
      <c r="I2" s="348"/>
      <c r="J2" s="366"/>
      <c r="K2" s="100"/>
      <c r="L2" s="100"/>
    </row>
    <row r="3" spans="1:12" ht="15.75">
      <c r="A3" s="348" t="s">
        <v>316</v>
      </c>
      <c r="B3" s="348"/>
      <c r="C3" s="348"/>
      <c r="D3" s="348"/>
      <c r="E3" s="348"/>
      <c r="F3" s="348"/>
      <c r="G3" s="348"/>
      <c r="H3" s="350" t="s">
        <v>317</v>
      </c>
      <c r="I3" s="350"/>
      <c r="J3" s="366"/>
      <c r="K3" s="100"/>
      <c r="L3" s="100"/>
    </row>
    <row r="4" spans="1:12" ht="15.75">
      <c r="A4" s="348"/>
      <c r="B4" s="348"/>
      <c r="C4" s="348"/>
      <c r="D4" s="348"/>
      <c r="E4" s="348"/>
      <c r="F4" s="348"/>
      <c r="G4" s="348"/>
      <c r="H4" s="348"/>
      <c r="I4" s="348"/>
      <c r="J4" s="366"/>
      <c r="K4" s="101"/>
      <c r="L4" s="101"/>
    </row>
    <row r="5" spans="1:12" ht="15.75">
      <c r="A5" s="351" t="s">
        <v>318</v>
      </c>
      <c r="B5" s="351"/>
      <c r="C5" s="351"/>
      <c r="D5" s="351"/>
      <c r="E5" s="351"/>
      <c r="F5" s="351"/>
      <c r="G5" s="351"/>
      <c r="H5" s="351"/>
      <c r="I5" s="351"/>
      <c r="J5" s="366"/>
      <c r="K5" s="100"/>
      <c r="L5" s="100"/>
    </row>
    <row r="6" spans="1:12" ht="15.75">
      <c r="A6" s="63" t="s">
        <v>319</v>
      </c>
      <c r="B6" s="352" t="s">
        <v>320</v>
      </c>
      <c r="C6" s="352"/>
      <c r="D6" s="352"/>
      <c r="E6" s="352"/>
      <c r="F6" s="352"/>
      <c r="G6" s="352"/>
      <c r="H6" s="352"/>
      <c r="I6" s="102"/>
      <c r="J6" s="366"/>
      <c r="K6" s="103" t="s">
        <v>321</v>
      </c>
      <c r="L6" s="104"/>
    </row>
    <row r="7" spans="1:12" ht="15.75">
      <c r="A7" s="63" t="s">
        <v>322</v>
      </c>
      <c r="B7" s="352" t="s">
        <v>323</v>
      </c>
      <c r="C7" s="352"/>
      <c r="D7" s="352"/>
      <c r="E7" s="352"/>
      <c r="F7" s="352"/>
      <c r="G7" s="352"/>
      <c r="H7" s="352"/>
      <c r="I7" s="63" t="s">
        <v>324</v>
      </c>
      <c r="J7" s="366"/>
      <c r="K7" s="105" t="s">
        <v>325</v>
      </c>
      <c r="L7" s="106"/>
    </row>
    <row r="8" spans="1:12" ht="15.75">
      <c r="A8" s="63" t="s">
        <v>326</v>
      </c>
      <c r="B8" s="352" t="s">
        <v>327</v>
      </c>
      <c r="C8" s="352"/>
      <c r="D8" s="352"/>
      <c r="E8" s="352"/>
      <c r="F8" s="352"/>
      <c r="G8" s="352"/>
      <c r="H8" s="352"/>
      <c r="I8" s="63" t="s">
        <v>328</v>
      </c>
      <c r="J8" s="366"/>
      <c r="K8" s="107" t="s">
        <v>329</v>
      </c>
      <c r="L8" s="108">
        <f>J138</f>
        <v>2851.2740400000002</v>
      </c>
    </row>
    <row r="9" spans="1:12" ht="15.75">
      <c r="A9" s="63" t="s">
        <v>330</v>
      </c>
      <c r="B9" s="352" t="s">
        <v>331</v>
      </c>
      <c r="C9" s="352"/>
      <c r="D9" s="352"/>
      <c r="E9" s="352"/>
      <c r="F9" s="352"/>
      <c r="G9" s="352"/>
      <c r="H9" s="352"/>
      <c r="I9" s="63">
        <v>12</v>
      </c>
      <c r="J9" s="366"/>
      <c r="K9" s="109"/>
      <c r="L9" s="109"/>
    </row>
    <row r="10" spans="1:12" ht="15.75">
      <c r="A10" s="353"/>
      <c r="B10" s="353"/>
      <c r="C10" s="353"/>
      <c r="D10" s="353"/>
      <c r="E10" s="353"/>
      <c r="F10" s="353"/>
      <c r="G10" s="353"/>
      <c r="H10" s="353"/>
      <c r="I10" s="353"/>
      <c r="J10" s="366"/>
      <c r="K10" s="103" t="s">
        <v>332</v>
      </c>
      <c r="L10" s="104"/>
    </row>
    <row r="11" spans="1:12" ht="12.75" customHeight="1">
      <c r="A11" s="351" t="s">
        <v>333</v>
      </c>
      <c r="B11" s="351"/>
      <c r="C11" s="351"/>
      <c r="D11" s="351"/>
      <c r="E11" s="351"/>
      <c r="F11" s="351"/>
      <c r="G11" s="351"/>
      <c r="H11" s="351"/>
      <c r="I11" s="351"/>
      <c r="J11" s="366"/>
      <c r="K11" s="110" t="s">
        <v>334</v>
      </c>
      <c r="L11" s="111"/>
    </row>
    <row r="12" spans="1:12" ht="15.75">
      <c r="A12" s="350" t="s">
        <v>335</v>
      </c>
      <c r="B12" s="350"/>
      <c r="C12" s="350" t="s">
        <v>336</v>
      </c>
      <c r="D12" s="350"/>
      <c r="E12" s="350" t="s">
        <v>337</v>
      </c>
      <c r="F12" s="350"/>
      <c r="G12" s="350"/>
      <c r="H12" s="350"/>
      <c r="I12" s="350"/>
      <c r="J12" s="366"/>
      <c r="K12" s="112" t="s">
        <v>338</v>
      </c>
      <c r="L12" s="113">
        <v>0.11</v>
      </c>
    </row>
    <row r="13" spans="1:12" ht="15.75">
      <c r="A13" s="354" t="s">
        <v>339</v>
      </c>
      <c r="B13" s="354"/>
      <c r="C13" s="355" t="s">
        <v>499</v>
      </c>
      <c r="D13" s="355"/>
      <c r="E13" s="350"/>
      <c r="F13" s="350"/>
      <c r="G13" s="350"/>
      <c r="H13" s="350"/>
      <c r="I13" s="350"/>
      <c r="J13" s="366"/>
      <c r="K13" s="114" t="s">
        <v>341</v>
      </c>
      <c r="L13" s="115">
        <f>I52</f>
        <v>473.82</v>
      </c>
    </row>
    <row r="14" spans="1:12" ht="15.75">
      <c r="A14" s="351" t="s">
        <v>342</v>
      </c>
      <c r="B14" s="351"/>
      <c r="C14" s="351"/>
      <c r="D14" s="351"/>
      <c r="E14" s="351"/>
      <c r="F14" s="351"/>
      <c r="G14" s="351"/>
      <c r="H14" s="351"/>
      <c r="I14" s="351"/>
      <c r="J14" s="366"/>
      <c r="K14" s="114" t="s">
        <v>343</v>
      </c>
      <c r="L14" s="115">
        <f>I104</f>
        <v>178.16</v>
      </c>
    </row>
    <row r="15" spans="1:12" ht="26.25">
      <c r="A15" s="63">
        <v>1</v>
      </c>
      <c r="B15" s="352" t="s">
        <v>344</v>
      </c>
      <c r="C15" s="352"/>
      <c r="D15" s="352"/>
      <c r="E15" s="352"/>
      <c r="F15" s="352"/>
      <c r="G15" s="352"/>
      <c r="H15" s="352"/>
      <c r="I15" s="69" t="s">
        <v>500</v>
      </c>
      <c r="J15" s="366"/>
      <c r="K15" s="114" t="s">
        <v>346</v>
      </c>
      <c r="L15" s="115">
        <f>I51</f>
        <v>0</v>
      </c>
    </row>
    <row r="16" spans="1:12" ht="15.75">
      <c r="A16" s="63">
        <v>2</v>
      </c>
      <c r="B16" s="352" t="s">
        <v>347</v>
      </c>
      <c r="C16" s="352"/>
      <c r="D16" s="352"/>
      <c r="E16" s="352"/>
      <c r="F16" s="352"/>
      <c r="G16" s="352"/>
      <c r="H16" s="352"/>
      <c r="I16" s="63" t="s">
        <v>501</v>
      </c>
      <c r="J16" s="366"/>
      <c r="K16" s="116" t="s">
        <v>349</v>
      </c>
      <c r="L16" s="117">
        <f>SUM(L13:L15)</f>
        <v>651.98</v>
      </c>
    </row>
    <row r="17" spans="1:12" ht="15.75">
      <c r="A17" s="63">
        <v>3</v>
      </c>
      <c r="B17" s="352" t="s">
        <v>350</v>
      </c>
      <c r="C17" s="352"/>
      <c r="D17" s="352"/>
      <c r="E17" s="352"/>
      <c r="F17" s="352"/>
      <c r="G17" s="352"/>
      <c r="H17" s="352"/>
      <c r="I17" s="64">
        <v>1553.96</v>
      </c>
      <c r="J17" s="366"/>
      <c r="K17" s="114" t="s">
        <v>351</v>
      </c>
      <c r="L17" s="118">
        <f>I139</f>
        <v>3938.9279999999999</v>
      </c>
    </row>
    <row r="18" spans="1:12" ht="38.25">
      <c r="A18" s="6">
        <v>4</v>
      </c>
      <c r="B18" s="356" t="s">
        <v>352</v>
      </c>
      <c r="C18" s="356"/>
      <c r="D18" s="356"/>
      <c r="E18" s="356"/>
      <c r="F18" s="356"/>
      <c r="G18" s="356"/>
      <c r="H18" s="356"/>
      <c r="I18" s="13" t="s">
        <v>353</v>
      </c>
      <c r="J18" s="366"/>
      <c r="K18" s="119" t="s">
        <v>354</v>
      </c>
      <c r="L18" s="120">
        <f>L17-L16</f>
        <v>3286.9479999999999</v>
      </c>
    </row>
    <row r="19" spans="1:12" ht="15.75">
      <c r="A19" s="63">
        <v>5</v>
      </c>
      <c r="B19" s="352" t="s">
        <v>355</v>
      </c>
      <c r="C19" s="352"/>
      <c r="D19" s="352"/>
      <c r="E19" s="352"/>
      <c r="F19" s="352"/>
      <c r="G19" s="352"/>
      <c r="H19" s="352"/>
      <c r="I19" s="102" t="s">
        <v>356</v>
      </c>
      <c r="J19" s="366"/>
      <c r="K19" s="121" t="s">
        <v>357</v>
      </c>
      <c r="L19" s="122">
        <f>L18*11%</f>
        <v>361.56428</v>
      </c>
    </row>
    <row r="20" spans="1:12" ht="15.75">
      <c r="A20" s="357"/>
      <c r="B20" s="357"/>
      <c r="C20" s="357"/>
      <c r="D20" s="357"/>
      <c r="E20" s="357"/>
      <c r="F20" s="357"/>
      <c r="G20" s="357"/>
      <c r="H20" s="357"/>
      <c r="I20" s="357"/>
      <c r="J20" s="366"/>
      <c r="K20" s="112" t="s">
        <v>358</v>
      </c>
      <c r="L20" s="123"/>
    </row>
    <row r="21" spans="1:12" ht="15.75" customHeight="1">
      <c r="A21" s="351" t="s">
        <v>359</v>
      </c>
      <c r="B21" s="351"/>
      <c r="C21" s="351"/>
      <c r="D21" s="351"/>
      <c r="E21" s="351"/>
      <c r="F21" s="351"/>
      <c r="G21" s="351"/>
      <c r="H21" s="351"/>
      <c r="I21" s="351"/>
      <c r="J21" s="366"/>
      <c r="K21" s="124" t="s">
        <v>360</v>
      </c>
      <c r="L21" s="125">
        <v>1.2E-2</v>
      </c>
    </row>
    <row r="22" spans="1:12" ht="15.75" customHeight="1">
      <c r="A22" s="95">
        <v>1</v>
      </c>
      <c r="B22" s="351" t="s">
        <v>361</v>
      </c>
      <c r="C22" s="351"/>
      <c r="D22" s="351"/>
      <c r="E22" s="351"/>
      <c r="F22" s="351"/>
      <c r="G22" s="351"/>
      <c r="H22" s="96" t="s">
        <v>362</v>
      </c>
      <c r="I22" s="96" t="s">
        <v>363</v>
      </c>
      <c r="J22" s="366"/>
      <c r="K22" s="126" t="s">
        <v>364</v>
      </c>
      <c r="L22" s="127">
        <v>4.8000000000000001E-2</v>
      </c>
    </row>
    <row r="23" spans="1:12" ht="15.75" customHeight="1">
      <c r="A23" s="95" t="s">
        <v>319</v>
      </c>
      <c r="B23" s="352" t="s">
        <v>365</v>
      </c>
      <c r="C23" s="352"/>
      <c r="D23" s="352"/>
      <c r="E23" s="352"/>
      <c r="F23" s="352"/>
      <c r="G23" s="352"/>
      <c r="H23" s="62"/>
      <c r="I23" s="128">
        <f>I17</f>
        <v>1553.96</v>
      </c>
      <c r="J23" s="366"/>
      <c r="K23" s="114" t="s">
        <v>366</v>
      </c>
      <c r="L23" s="118">
        <f>L17</f>
        <v>3938.9279999999999</v>
      </c>
    </row>
    <row r="24" spans="1:12" ht="15.75" customHeight="1">
      <c r="A24" s="95" t="s">
        <v>322</v>
      </c>
      <c r="B24" s="352" t="s">
        <v>367</v>
      </c>
      <c r="C24" s="352"/>
      <c r="D24" s="352"/>
      <c r="E24" s="352"/>
      <c r="F24" s="352"/>
      <c r="G24" s="352"/>
      <c r="H24" s="97"/>
      <c r="I24" s="128">
        <v>0</v>
      </c>
      <c r="J24" s="366"/>
      <c r="K24" s="121" t="s">
        <v>368</v>
      </c>
      <c r="L24" s="122">
        <f>L23*L21</f>
        <v>47.267136000000001</v>
      </c>
    </row>
    <row r="25" spans="1:12" ht="15.75" customHeight="1">
      <c r="A25" s="95" t="s">
        <v>326</v>
      </c>
      <c r="B25" s="352" t="s">
        <v>369</v>
      </c>
      <c r="C25" s="352"/>
      <c r="D25" s="352"/>
      <c r="E25" s="352"/>
      <c r="F25" s="352"/>
      <c r="G25" s="352"/>
      <c r="H25" s="97"/>
      <c r="I25" s="128">
        <v>0</v>
      </c>
      <c r="J25" s="366"/>
      <c r="K25" s="112" t="s">
        <v>370</v>
      </c>
      <c r="L25" s="113">
        <v>0.01</v>
      </c>
    </row>
    <row r="26" spans="1:12" ht="15.75" customHeight="1">
      <c r="A26" s="95" t="s">
        <v>330</v>
      </c>
      <c r="B26" s="352" t="s">
        <v>371</v>
      </c>
      <c r="C26" s="352"/>
      <c r="D26" s="352"/>
      <c r="E26" s="352"/>
      <c r="F26" s="352"/>
      <c r="G26" s="352"/>
      <c r="H26" s="97"/>
      <c r="I26" s="128">
        <v>0</v>
      </c>
      <c r="J26" s="366"/>
      <c r="K26" s="119" t="s">
        <v>351</v>
      </c>
      <c r="L26" s="120">
        <f>L17</f>
        <v>3938.9279999999999</v>
      </c>
    </row>
    <row r="27" spans="1:12" ht="15.75" customHeight="1">
      <c r="A27" s="95" t="s">
        <v>372</v>
      </c>
      <c r="B27" s="352" t="s">
        <v>373</v>
      </c>
      <c r="C27" s="352"/>
      <c r="D27" s="352"/>
      <c r="E27" s="352"/>
      <c r="F27" s="352"/>
      <c r="G27" s="352"/>
      <c r="H27" s="97"/>
      <c r="I27" s="128">
        <v>0</v>
      </c>
      <c r="J27" s="366"/>
      <c r="K27" s="121" t="s">
        <v>357</v>
      </c>
      <c r="L27" s="122">
        <f>L26*L25</f>
        <v>39.389279999999999</v>
      </c>
    </row>
    <row r="28" spans="1:12" ht="15.75" customHeight="1">
      <c r="A28" s="95" t="s">
        <v>374</v>
      </c>
      <c r="B28" s="352" t="s">
        <v>375</v>
      </c>
      <c r="C28" s="352"/>
      <c r="D28" s="352"/>
      <c r="E28" s="352"/>
      <c r="F28" s="352"/>
      <c r="G28" s="352"/>
      <c r="H28" s="97"/>
      <c r="I28" s="128">
        <v>0</v>
      </c>
      <c r="J28" s="366"/>
      <c r="K28" s="112" t="s">
        <v>376</v>
      </c>
      <c r="L28" s="113">
        <f>H117</f>
        <v>2.6599999999999999E-2</v>
      </c>
    </row>
    <row r="29" spans="1:12" ht="15.75" customHeight="1">
      <c r="A29" s="351" t="s">
        <v>377</v>
      </c>
      <c r="B29" s="351"/>
      <c r="C29" s="351"/>
      <c r="D29" s="351"/>
      <c r="E29" s="351"/>
      <c r="F29" s="351"/>
      <c r="G29" s="351"/>
      <c r="H29" s="351"/>
      <c r="I29" s="129">
        <f>SUM(I23:I28)</f>
        <v>1553.96</v>
      </c>
      <c r="J29" s="130">
        <f>SUM(I23:I28)</f>
        <v>1553.96</v>
      </c>
      <c r="K29" s="119" t="s">
        <v>351</v>
      </c>
      <c r="L29" s="120">
        <f>L17</f>
        <v>3938.9279999999999</v>
      </c>
    </row>
    <row r="30" spans="1:12" ht="15.7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131"/>
      <c r="K30" s="121" t="s">
        <v>357</v>
      </c>
      <c r="L30" s="122">
        <f>L29*L28</f>
        <v>104.77548479999999</v>
      </c>
    </row>
    <row r="31" spans="1:12" ht="15.75" customHeight="1">
      <c r="A31" s="351" t="s">
        <v>378</v>
      </c>
      <c r="B31" s="351"/>
      <c r="C31" s="351"/>
      <c r="D31" s="351"/>
      <c r="E31" s="351"/>
      <c r="F31" s="351"/>
      <c r="G31" s="351"/>
      <c r="H31" s="351"/>
      <c r="I31" s="351"/>
      <c r="J31" s="131"/>
      <c r="K31" s="112" t="s">
        <v>379</v>
      </c>
      <c r="L31" s="113">
        <f>H116</f>
        <v>5.7999999999999996E-3</v>
      </c>
    </row>
    <row r="32" spans="1:12" ht="15.75" customHeight="1">
      <c r="A32" s="351" t="s">
        <v>380</v>
      </c>
      <c r="B32" s="351"/>
      <c r="C32" s="351"/>
      <c r="D32" s="351"/>
      <c r="E32" s="351"/>
      <c r="F32" s="351"/>
      <c r="G32" s="351"/>
      <c r="H32" s="96" t="s">
        <v>362</v>
      </c>
      <c r="I32" s="96" t="s">
        <v>363</v>
      </c>
      <c r="J32" s="132"/>
      <c r="K32" s="119" t="s">
        <v>351</v>
      </c>
      <c r="L32" s="120">
        <f>L17</f>
        <v>3938.9279999999999</v>
      </c>
    </row>
    <row r="33" spans="1:12" ht="15.75" customHeight="1">
      <c r="A33" s="95" t="s">
        <v>319</v>
      </c>
      <c r="B33" s="352" t="s">
        <v>381</v>
      </c>
      <c r="C33" s="352"/>
      <c r="D33" s="352"/>
      <c r="E33" s="352"/>
      <c r="F33" s="352"/>
      <c r="G33" s="352"/>
      <c r="H33" s="97">
        <f>ROUND(1/12,4)</f>
        <v>8.3299999999999999E-2</v>
      </c>
      <c r="I33" s="133">
        <f>ROUND(I29*H33,2)</f>
        <v>129.44</v>
      </c>
      <c r="J33" s="130">
        <f>I33+(I33*$H$48)</f>
        <v>174.48511999999999</v>
      </c>
      <c r="K33" s="121" t="s">
        <v>357</v>
      </c>
      <c r="L33" s="122">
        <f>L32*L31</f>
        <v>22.845782399999997</v>
      </c>
    </row>
    <row r="34" spans="1:12" ht="15.75" customHeight="1">
      <c r="A34" s="95" t="s">
        <v>322</v>
      </c>
      <c r="B34" s="352" t="s">
        <v>382</v>
      </c>
      <c r="C34" s="352"/>
      <c r="D34" s="352"/>
      <c r="E34" s="352"/>
      <c r="F34" s="352"/>
      <c r="G34" s="352"/>
      <c r="H34" s="97">
        <v>0.121</v>
      </c>
      <c r="I34" s="133">
        <f>ROUND(I29*H34,2)</f>
        <v>188.03</v>
      </c>
      <c r="J34" s="130">
        <f>I34+(I34*$H$48)</f>
        <v>253.46444000000002</v>
      </c>
      <c r="K34" s="112" t="s">
        <v>383</v>
      </c>
      <c r="L34" s="113">
        <f>H118</f>
        <v>0.05</v>
      </c>
    </row>
    <row r="35" spans="1:12" ht="15.75" customHeight="1">
      <c r="A35" s="351" t="s">
        <v>384</v>
      </c>
      <c r="B35" s="351"/>
      <c r="C35" s="351"/>
      <c r="D35" s="351"/>
      <c r="E35" s="351"/>
      <c r="F35" s="351"/>
      <c r="G35" s="351"/>
      <c r="H35" s="98">
        <f>SUM(H33:H34)</f>
        <v>0.20430000000000001</v>
      </c>
      <c r="I35" s="129">
        <f>SUM(I33:I34)</f>
        <v>317.47000000000003</v>
      </c>
      <c r="J35" s="134"/>
      <c r="K35" s="119" t="s">
        <v>351</v>
      </c>
      <c r="L35" s="120">
        <f>L17</f>
        <v>3938.9279999999999</v>
      </c>
    </row>
    <row r="36" spans="1:12" ht="15.75" customHeight="1">
      <c r="A36" s="369" t="s">
        <v>385</v>
      </c>
      <c r="B36" s="369"/>
      <c r="C36" s="369"/>
      <c r="D36" s="369"/>
      <c r="E36" s="369"/>
      <c r="F36" s="369"/>
      <c r="G36" s="358" t="s">
        <v>386</v>
      </c>
      <c r="H36" s="358"/>
      <c r="I36" s="135">
        <f>I29</f>
        <v>1553.96</v>
      </c>
      <c r="J36" s="136"/>
      <c r="K36" s="121" t="s">
        <v>357</v>
      </c>
      <c r="L36" s="122">
        <f>L35*L34</f>
        <v>196.94640000000001</v>
      </c>
    </row>
    <row r="37" spans="1:12" ht="15.75" customHeight="1">
      <c r="A37" s="369"/>
      <c r="B37" s="369"/>
      <c r="C37" s="369"/>
      <c r="D37" s="369"/>
      <c r="E37" s="369"/>
      <c r="F37" s="369"/>
      <c r="G37" s="358" t="s">
        <v>387</v>
      </c>
      <c r="H37" s="358"/>
      <c r="I37" s="135">
        <f>I35</f>
        <v>317.47000000000003</v>
      </c>
      <c r="J37" s="137"/>
      <c r="K37" s="138" t="s">
        <v>388</v>
      </c>
      <c r="L37" s="139">
        <f>L19+L24+L27+L30+L33+L36</f>
        <v>772.78836319999994</v>
      </c>
    </row>
    <row r="38" spans="1:12" ht="15.75" customHeight="1">
      <c r="A38" s="369"/>
      <c r="B38" s="369"/>
      <c r="C38" s="369"/>
      <c r="D38" s="369"/>
      <c r="E38" s="369"/>
      <c r="F38" s="369"/>
      <c r="G38" s="359" t="s">
        <v>389</v>
      </c>
      <c r="H38" s="359"/>
      <c r="I38" s="140">
        <f>SUM(I36:I37)</f>
        <v>1871.43</v>
      </c>
      <c r="J38" s="136"/>
      <c r="K38" s="141"/>
      <c r="L38" s="141"/>
    </row>
    <row r="39" spans="1:12" ht="15.75" customHeight="1">
      <c r="A39" s="351" t="s">
        <v>390</v>
      </c>
      <c r="B39" s="351"/>
      <c r="C39" s="351"/>
      <c r="D39" s="351"/>
      <c r="E39" s="351"/>
      <c r="F39" s="351"/>
      <c r="G39" s="351"/>
      <c r="H39" s="96" t="s">
        <v>362</v>
      </c>
      <c r="I39" s="96" t="s">
        <v>363</v>
      </c>
      <c r="J39" s="136"/>
      <c r="K39" s="142" t="s">
        <v>391</v>
      </c>
      <c r="L39" s="143"/>
    </row>
    <row r="40" spans="1:12" ht="15.75" customHeight="1">
      <c r="A40" s="95" t="s">
        <v>319</v>
      </c>
      <c r="B40" s="352" t="s">
        <v>392</v>
      </c>
      <c r="C40" s="352"/>
      <c r="D40" s="352"/>
      <c r="E40" s="352"/>
      <c r="F40" s="352"/>
      <c r="G40" s="352"/>
      <c r="H40" s="97">
        <v>0.2</v>
      </c>
      <c r="I40" s="133">
        <f t="shared" ref="I40:I47" si="0">ROUND($I$38*H40,2)</f>
        <v>374.29</v>
      </c>
      <c r="J40" s="144" t="s">
        <v>393</v>
      </c>
      <c r="K40" s="145" t="s">
        <v>394</v>
      </c>
      <c r="L40" s="146"/>
    </row>
    <row r="41" spans="1:12" ht="15.75" customHeight="1">
      <c r="A41" s="95" t="s">
        <v>322</v>
      </c>
      <c r="B41" s="352" t="s">
        <v>395</v>
      </c>
      <c r="C41" s="352"/>
      <c r="D41" s="352"/>
      <c r="E41" s="352"/>
      <c r="F41" s="352"/>
      <c r="G41" s="352"/>
      <c r="H41" s="97">
        <v>2.5000000000000001E-2</v>
      </c>
      <c r="I41" s="133">
        <f t="shared" si="0"/>
        <v>46.79</v>
      </c>
      <c r="J41" s="130">
        <f t="shared" ref="J41:J47" si="1">$I$29*H41</f>
        <v>38.848999999999997</v>
      </c>
      <c r="K41" s="147" t="s">
        <v>394</v>
      </c>
      <c r="L41" s="148">
        <f>L8+L37</f>
        <v>3624.0624032000001</v>
      </c>
    </row>
    <row r="42" spans="1:12" ht="15.75" customHeight="1">
      <c r="A42" s="95" t="s">
        <v>326</v>
      </c>
      <c r="B42" s="352" t="s">
        <v>396</v>
      </c>
      <c r="C42" s="352"/>
      <c r="D42" s="352"/>
      <c r="E42" s="352"/>
      <c r="F42" s="352"/>
      <c r="G42" s="352"/>
      <c r="H42" s="402">
        <v>0.01</v>
      </c>
      <c r="I42" s="133">
        <f t="shared" si="0"/>
        <v>18.71</v>
      </c>
      <c r="J42" s="144" t="s">
        <v>393</v>
      </c>
      <c r="K42" s="109"/>
      <c r="L42" s="149"/>
    </row>
    <row r="43" spans="1:12" ht="15.75" customHeight="1">
      <c r="A43" s="95" t="s">
        <v>330</v>
      </c>
      <c r="B43" s="352" t="s">
        <v>397</v>
      </c>
      <c r="C43" s="352"/>
      <c r="D43" s="352"/>
      <c r="E43" s="352"/>
      <c r="F43" s="352"/>
      <c r="G43" s="352"/>
      <c r="H43" s="97">
        <v>1.4999999999999999E-2</v>
      </c>
      <c r="I43" s="133">
        <f t="shared" si="0"/>
        <v>28.07</v>
      </c>
      <c r="J43" s="130">
        <f t="shared" si="1"/>
        <v>23.3094</v>
      </c>
      <c r="K43" s="109"/>
      <c r="L43" s="149"/>
    </row>
    <row r="44" spans="1:12" ht="15.75" customHeight="1">
      <c r="A44" s="95" t="s">
        <v>372</v>
      </c>
      <c r="B44" s="352" t="s">
        <v>398</v>
      </c>
      <c r="C44" s="352"/>
      <c r="D44" s="352"/>
      <c r="E44" s="352"/>
      <c r="F44" s="352"/>
      <c r="G44" s="352"/>
      <c r="H44" s="97">
        <v>0.01</v>
      </c>
      <c r="I44" s="133">
        <f t="shared" si="0"/>
        <v>18.71</v>
      </c>
      <c r="J44" s="130">
        <f t="shared" si="1"/>
        <v>15.5396</v>
      </c>
      <c r="K44" s="109"/>
      <c r="L44" s="149"/>
    </row>
    <row r="45" spans="1:12" ht="15.75" customHeight="1">
      <c r="A45" s="95" t="s">
        <v>374</v>
      </c>
      <c r="B45" s="352" t="s">
        <v>399</v>
      </c>
      <c r="C45" s="352"/>
      <c r="D45" s="352"/>
      <c r="E45" s="352"/>
      <c r="F45" s="352"/>
      <c r="G45" s="352"/>
      <c r="H45" s="97">
        <v>6.0000000000000001E-3</v>
      </c>
      <c r="I45" s="133">
        <f t="shared" si="0"/>
        <v>11.23</v>
      </c>
      <c r="J45" s="130">
        <f t="shared" si="1"/>
        <v>9.32376</v>
      </c>
      <c r="K45" s="109"/>
      <c r="L45" s="149"/>
    </row>
    <row r="46" spans="1:12" ht="15.75" customHeight="1">
      <c r="A46" s="95" t="s">
        <v>400</v>
      </c>
      <c r="B46" s="352" t="s">
        <v>401</v>
      </c>
      <c r="C46" s="352"/>
      <c r="D46" s="352"/>
      <c r="E46" s="352"/>
      <c r="F46" s="352"/>
      <c r="G46" s="352"/>
      <c r="H46" s="97">
        <v>2E-3</v>
      </c>
      <c r="I46" s="133">
        <f t="shared" si="0"/>
        <v>3.74</v>
      </c>
      <c r="J46" s="130">
        <f t="shared" si="1"/>
        <v>3.10792</v>
      </c>
      <c r="K46" s="109"/>
      <c r="L46" s="149"/>
    </row>
    <row r="47" spans="1:12" ht="15.75" customHeight="1">
      <c r="A47" s="95" t="s">
        <v>402</v>
      </c>
      <c r="B47" s="352" t="s">
        <v>403</v>
      </c>
      <c r="C47" s="352"/>
      <c r="D47" s="352"/>
      <c r="E47" s="352"/>
      <c r="F47" s="352"/>
      <c r="G47" s="352"/>
      <c r="H47" s="97">
        <v>0.08</v>
      </c>
      <c r="I47" s="133">
        <f t="shared" si="0"/>
        <v>149.71</v>
      </c>
      <c r="J47" s="130">
        <f t="shared" si="1"/>
        <v>124.3168</v>
      </c>
      <c r="K47" s="360" t="s">
        <v>404</v>
      </c>
      <c r="L47" s="360"/>
    </row>
    <row r="48" spans="1:12" ht="15.75" customHeight="1">
      <c r="A48" s="351" t="s">
        <v>405</v>
      </c>
      <c r="B48" s="351"/>
      <c r="C48" s="351"/>
      <c r="D48" s="351"/>
      <c r="E48" s="351"/>
      <c r="F48" s="351"/>
      <c r="G48" s="351"/>
      <c r="H48" s="98">
        <f>SUM(H40:H47)</f>
        <v>0.34800000000000003</v>
      </c>
      <c r="I48" s="129">
        <f>SUM(I40:I47)</f>
        <v>651.25</v>
      </c>
      <c r="J48" s="137"/>
      <c r="K48" s="361" t="s">
        <v>406</v>
      </c>
      <c r="L48" s="361"/>
    </row>
    <row r="49" spans="1:12" ht="9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137"/>
      <c r="K49" s="150" t="s">
        <v>407</v>
      </c>
      <c r="L49" s="151">
        <v>1</v>
      </c>
    </row>
    <row r="50" spans="1:12" ht="15.75" customHeight="1">
      <c r="A50" s="351" t="s">
        <v>408</v>
      </c>
      <c r="B50" s="351"/>
      <c r="C50" s="351"/>
      <c r="D50" s="351"/>
      <c r="E50" s="351"/>
      <c r="F50" s="351"/>
      <c r="G50" s="351"/>
      <c r="H50" s="98"/>
      <c r="I50" s="96" t="s">
        <v>363</v>
      </c>
      <c r="J50" s="137"/>
      <c r="K50" s="367" t="s">
        <v>409</v>
      </c>
      <c r="L50" s="368">
        <f>L41</f>
        <v>3624.0624032000001</v>
      </c>
    </row>
    <row r="51" spans="1:12" ht="15.75" customHeight="1">
      <c r="A51" s="95" t="s">
        <v>319</v>
      </c>
      <c r="B51" s="357" t="s">
        <v>410</v>
      </c>
      <c r="C51" s="357"/>
      <c r="D51" s="357"/>
      <c r="E51" s="357"/>
      <c r="F51" s="357"/>
      <c r="G51" s="357"/>
      <c r="H51" s="99" t="s">
        <v>303</v>
      </c>
      <c r="I51" s="128">
        <v>0</v>
      </c>
      <c r="J51" s="130">
        <f t="shared" ref="J51:J54" si="2">I51</f>
        <v>0</v>
      </c>
      <c r="K51" s="367"/>
      <c r="L51" s="368"/>
    </row>
    <row r="52" spans="1:12" ht="15.75" customHeight="1">
      <c r="A52" s="95" t="s">
        <v>322</v>
      </c>
      <c r="B52" s="357" t="s">
        <v>411</v>
      </c>
      <c r="C52" s="357"/>
      <c r="D52" s="357"/>
      <c r="E52" s="357"/>
      <c r="F52" s="357"/>
      <c r="G52" s="357"/>
      <c r="H52" s="63" t="s">
        <v>303</v>
      </c>
      <c r="I52" s="128">
        <v>473.82</v>
      </c>
      <c r="J52" s="130">
        <f t="shared" si="2"/>
        <v>473.82</v>
      </c>
      <c r="K52" s="367"/>
      <c r="L52" s="368"/>
    </row>
    <row r="53" spans="1:12" ht="15.75" customHeight="1">
      <c r="A53" s="95" t="s">
        <v>326</v>
      </c>
      <c r="B53" s="357" t="s">
        <v>412</v>
      </c>
      <c r="C53" s="357"/>
      <c r="D53" s="357"/>
      <c r="E53" s="357"/>
      <c r="F53" s="357"/>
      <c r="G53" s="357"/>
      <c r="H53" s="63" t="s">
        <v>303</v>
      </c>
      <c r="I53" s="128">
        <f>(52.15+78.22)*0.4</f>
        <v>52.148000000000003</v>
      </c>
      <c r="J53" s="130">
        <f t="shared" si="2"/>
        <v>52.148000000000003</v>
      </c>
      <c r="K53" s="153" t="s">
        <v>413</v>
      </c>
      <c r="L53" s="152">
        <f>I139</f>
        <v>3938.9279999999999</v>
      </c>
    </row>
    <row r="54" spans="1:12" ht="15.75" customHeight="1">
      <c r="A54" s="95" t="s">
        <v>330</v>
      </c>
      <c r="B54" s="357" t="s">
        <v>414</v>
      </c>
      <c r="C54" s="357"/>
      <c r="D54" s="357"/>
      <c r="E54" s="357"/>
      <c r="F54" s="357"/>
      <c r="G54" s="357"/>
      <c r="H54" s="63" t="s">
        <v>303</v>
      </c>
      <c r="I54" s="128">
        <f>ROUND((I23*26)*0.002/12,2)</f>
        <v>6.73</v>
      </c>
      <c r="J54" s="130">
        <f t="shared" si="2"/>
        <v>6.73</v>
      </c>
      <c r="K54" s="154" t="s">
        <v>415</v>
      </c>
      <c r="L54" s="155">
        <f>L41</f>
        <v>3624.0624032000001</v>
      </c>
    </row>
    <row r="55" spans="1:12" ht="15.75" customHeight="1">
      <c r="A55" s="351" t="s">
        <v>416</v>
      </c>
      <c r="B55" s="351"/>
      <c r="C55" s="351"/>
      <c r="D55" s="351"/>
      <c r="E55" s="351"/>
      <c r="F55" s="351"/>
      <c r="G55" s="351"/>
      <c r="H55" s="351"/>
      <c r="I55" s="129">
        <f>SUM(I51:I54)</f>
        <v>532.69799999999998</v>
      </c>
      <c r="J55" s="134"/>
      <c r="K55" s="156" t="s">
        <v>417</v>
      </c>
      <c r="L55" s="157">
        <f>L53-L54</f>
        <v>314.86559679999982</v>
      </c>
    </row>
    <row r="56" spans="1:12" ht="9.9499999999999993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134"/>
      <c r="K56" s="158" t="s">
        <v>418</v>
      </c>
      <c r="L56" s="159">
        <f>SUM(I68:I71,I96,I104,I113)</f>
        <v>383.34000000000003</v>
      </c>
    </row>
    <row r="57" spans="1:12" ht="15.75" customHeight="1">
      <c r="A57" s="351" t="s">
        <v>419</v>
      </c>
      <c r="B57" s="351"/>
      <c r="C57" s="351"/>
      <c r="D57" s="351"/>
      <c r="E57" s="351"/>
      <c r="F57" s="351"/>
      <c r="G57" s="351"/>
      <c r="H57" s="351"/>
      <c r="I57" s="351"/>
      <c r="J57" s="134"/>
      <c r="K57" s="158" t="s">
        <v>420</v>
      </c>
      <c r="L57" s="160">
        <f>L55-L56</f>
        <v>-68.474403200000211</v>
      </c>
    </row>
    <row r="58" spans="1:12" ht="15.75" customHeight="1">
      <c r="A58" s="351" t="s">
        <v>421</v>
      </c>
      <c r="B58" s="351"/>
      <c r="C58" s="351"/>
      <c r="D58" s="351"/>
      <c r="E58" s="351"/>
      <c r="F58" s="351"/>
      <c r="G58" s="351"/>
      <c r="H58" s="351"/>
      <c r="I58" s="96" t="s">
        <v>363</v>
      </c>
      <c r="J58" s="134"/>
      <c r="K58" s="161" t="s">
        <v>422</v>
      </c>
      <c r="L58" s="162">
        <f>ROUND(L57*L49,2)</f>
        <v>-68.47</v>
      </c>
    </row>
    <row r="59" spans="1:12" ht="15.75" customHeight="1">
      <c r="A59" s="95" t="s">
        <v>215</v>
      </c>
      <c r="B59" s="352" t="s">
        <v>423</v>
      </c>
      <c r="C59" s="352"/>
      <c r="D59" s="352"/>
      <c r="E59" s="352"/>
      <c r="F59" s="352"/>
      <c r="G59" s="352"/>
      <c r="H59" s="352"/>
      <c r="I59" s="133">
        <f>I35</f>
        <v>317.47000000000003</v>
      </c>
      <c r="J59" s="134"/>
      <c r="K59" s="161" t="s">
        <v>424</v>
      </c>
      <c r="L59" s="162">
        <f>ROUND((L57*12)*L49,2)</f>
        <v>-821.69</v>
      </c>
    </row>
    <row r="60" spans="1:12" ht="15.75" customHeight="1">
      <c r="A60" s="95" t="s">
        <v>245</v>
      </c>
      <c r="B60" s="352" t="s">
        <v>425</v>
      </c>
      <c r="C60" s="352"/>
      <c r="D60" s="352"/>
      <c r="E60" s="352"/>
      <c r="F60" s="352"/>
      <c r="G60" s="352"/>
      <c r="H60" s="352"/>
      <c r="I60" s="133">
        <f>I48</f>
        <v>651.25</v>
      </c>
      <c r="J60" s="134"/>
      <c r="K60" s="372" t="s">
        <v>426</v>
      </c>
      <c r="L60" s="372"/>
    </row>
    <row r="61" spans="1:12" ht="15.75" customHeight="1">
      <c r="A61" s="95" t="s">
        <v>257</v>
      </c>
      <c r="B61" s="352" t="s">
        <v>427</v>
      </c>
      <c r="C61" s="352"/>
      <c r="D61" s="352"/>
      <c r="E61" s="352"/>
      <c r="F61" s="352"/>
      <c r="G61" s="352"/>
      <c r="H61" s="352"/>
      <c r="I61" s="133">
        <f>I55</f>
        <v>532.69799999999998</v>
      </c>
      <c r="J61" s="134"/>
      <c r="K61" s="372"/>
      <c r="L61" s="372"/>
    </row>
    <row r="62" spans="1:12" ht="15.75" customHeight="1">
      <c r="A62" s="351" t="s">
        <v>428</v>
      </c>
      <c r="B62" s="351"/>
      <c r="C62" s="351"/>
      <c r="D62" s="351"/>
      <c r="E62" s="351"/>
      <c r="F62" s="351"/>
      <c r="G62" s="351"/>
      <c r="H62" s="351"/>
      <c r="I62" s="129">
        <f>SUM(I59:I61)</f>
        <v>1501.4180000000001</v>
      </c>
      <c r="J62" s="134"/>
      <c r="K62" s="372"/>
      <c r="L62" s="372"/>
    </row>
    <row r="63" spans="1:12" ht="15.75" customHeight="1">
      <c r="A63" s="370" t="s">
        <v>429</v>
      </c>
      <c r="B63" s="370"/>
      <c r="C63" s="370"/>
      <c r="D63" s="370"/>
      <c r="E63" s="370"/>
      <c r="F63" s="370"/>
      <c r="G63" s="358" t="s">
        <v>386</v>
      </c>
      <c r="H63" s="358"/>
      <c r="I63" s="135">
        <f>I29</f>
        <v>1553.96</v>
      </c>
      <c r="J63" s="134"/>
      <c r="K63" s="372"/>
      <c r="L63" s="372"/>
    </row>
    <row r="64" spans="1:12" ht="15.75" customHeight="1">
      <c r="A64" s="370"/>
      <c r="B64" s="370"/>
      <c r="C64" s="370"/>
      <c r="D64" s="370"/>
      <c r="E64" s="370"/>
      <c r="F64" s="370"/>
      <c r="G64" s="358" t="s">
        <v>430</v>
      </c>
      <c r="H64" s="358"/>
      <c r="I64" s="135">
        <f>I62</f>
        <v>1501.4180000000001</v>
      </c>
      <c r="J64" s="134"/>
      <c r="K64" s="372"/>
      <c r="L64" s="372"/>
    </row>
    <row r="65" spans="1:12" ht="15.75" customHeight="1">
      <c r="A65" s="370"/>
      <c r="B65" s="370"/>
      <c r="C65" s="370"/>
      <c r="D65" s="370"/>
      <c r="E65" s="370"/>
      <c r="F65" s="370"/>
      <c r="G65" s="359" t="s">
        <v>389</v>
      </c>
      <c r="H65" s="359"/>
      <c r="I65" s="140">
        <f>SUM(I63:I64)</f>
        <v>3055.3780000000002</v>
      </c>
      <c r="J65" s="134"/>
      <c r="K65" s="372"/>
      <c r="L65" s="372"/>
    </row>
    <row r="66" spans="1:12" ht="27.75" customHeight="1">
      <c r="A66" s="351" t="s">
        <v>431</v>
      </c>
      <c r="B66" s="351"/>
      <c r="C66" s="351"/>
      <c r="D66" s="351"/>
      <c r="E66" s="351"/>
      <c r="F66" s="351"/>
      <c r="G66" s="351"/>
      <c r="H66" s="351"/>
      <c r="I66" s="351"/>
      <c r="J66" s="134"/>
      <c r="K66" s="372"/>
      <c r="L66" s="372"/>
    </row>
    <row r="67" spans="1:12" ht="15.75" customHeight="1">
      <c r="A67" s="95">
        <v>3</v>
      </c>
      <c r="B67" s="351" t="s">
        <v>432</v>
      </c>
      <c r="C67" s="351"/>
      <c r="D67" s="351"/>
      <c r="E67" s="351"/>
      <c r="F67" s="351"/>
      <c r="G67" s="351"/>
      <c r="H67" s="96" t="s">
        <v>362</v>
      </c>
      <c r="I67" s="96" t="s">
        <v>363</v>
      </c>
      <c r="J67" s="134"/>
      <c r="K67" s="372"/>
      <c r="L67" s="372"/>
    </row>
    <row r="68" spans="1:12" ht="15.75" customHeight="1">
      <c r="A68" s="95" t="s">
        <v>319</v>
      </c>
      <c r="B68" s="352" t="s">
        <v>433</v>
      </c>
      <c r="C68" s="352"/>
      <c r="D68" s="352"/>
      <c r="E68" s="352"/>
      <c r="F68" s="352"/>
      <c r="G68" s="352"/>
      <c r="H68" s="97">
        <f>ROUND(((1/12)*5%),4)</f>
        <v>4.1999999999999997E-3</v>
      </c>
      <c r="I68" s="133">
        <f>ROUND(H68*$I$65,2)</f>
        <v>12.83</v>
      </c>
      <c r="J68" s="134"/>
      <c r="K68" s="372"/>
      <c r="L68" s="372"/>
    </row>
    <row r="69" spans="1:12" ht="15.75" customHeight="1">
      <c r="A69" s="95" t="s">
        <v>322</v>
      </c>
      <c r="B69" s="352" t="s">
        <v>434</v>
      </c>
      <c r="C69" s="352"/>
      <c r="D69" s="352"/>
      <c r="E69" s="352"/>
      <c r="F69" s="352"/>
      <c r="G69" s="352"/>
      <c r="H69" s="97">
        <f>TRUNC(H68*H47,4)</f>
        <v>2.9999999999999997E-4</v>
      </c>
      <c r="I69" s="133">
        <f>ROUND(H69*$I$65,2)</f>
        <v>0.92</v>
      </c>
      <c r="J69" s="134"/>
      <c r="K69" s="372"/>
      <c r="L69" s="372"/>
    </row>
    <row r="70" spans="1:12" ht="15.75" customHeight="1">
      <c r="A70" s="95" t="s">
        <v>326</v>
      </c>
      <c r="B70" s="352" t="s">
        <v>435</v>
      </c>
      <c r="C70" s="352"/>
      <c r="D70" s="352"/>
      <c r="E70" s="352"/>
      <c r="F70" s="352"/>
      <c r="G70" s="352"/>
      <c r="H70" s="97">
        <f>ROUND(((7/30)/12)*95%,4)</f>
        <v>1.8499999999999999E-2</v>
      </c>
      <c r="I70" s="133">
        <f>ROUND(H70*$I$65,2)</f>
        <v>56.52</v>
      </c>
      <c r="J70" s="134"/>
      <c r="K70" s="109"/>
      <c r="L70" s="109"/>
    </row>
    <row r="71" spans="1:12" ht="15.75" customHeight="1">
      <c r="A71" s="95" t="s">
        <v>330</v>
      </c>
      <c r="B71" s="363" t="s">
        <v>436</v>
      </c>
      <c r="C71" s="363"/>
      <c r="D71" s="363"/>
      <c r="E71" s="363"/>
      <c r="F71" s="363"/>
      <c r="G71" s="363"/>
      <c r="H71" s="97">
        <f>ROUND(H70*H48,4)</f>
        <v>6.4000000000000003E-3</v>
      </c>
      <c r="I71" s="133">
        <f>ROUND(H71*$I$65,2)</f>
        <v>19.55</v>
      </c>
      <c r="J71" s="134"/>
      <c r="K71" s="109"/>
      <c r="L71" s="109"/>
    </row>
    <row r="72" spans="1:12" ht="15.75" customHeight="1">
      <c r="A72" s="95" t="s">
        <v>372</v>
      </c>
      <c r="B72" s="352" t="s">
        <v>437</v>
      </c>
      <c r="C72" s="352"/>
      <c r="D72" s="352"/>
      <c r="E72" s="352"/>
      <c r="F72" s="352"/>
      <c r="G72" s="352"/>
      <c r="H72" s="97">
        <v>0.04</v>
      </c>
      <c r="I72" s="133">
        <f>ROUND(H72*$I$65,2)</f>
        <v>122.22</v>
      </c>
      <c r="J72" s="130">
        <f>I72</f>
        <v>122.22</v>
      </c>
      <c r="K72" s="109"/>
      <c r="L72" s="109"/>
    </row>
    <row r="73" spans="1:12" ht="15.75" customHeight="1">
      <c r="A73" s="351" t="s">
        <v>438</v>
      </c>
      <c r="B73" s="351"/>
      <c r="C73" s="351"/>
      <c r="D73" s="351"/>
      <c r="E73" s="351"/>
      <c r="F73" s="351"/>
      <c r="G73" s="351"/>
      <c r="H73" s="98">
        <f>SUM(H68:H72)</f>
        <v>6.9400000000000003E-2</v>
      </c>
      <c r="I73" s="129">
        <f>SUM(I68:I72)</f>
        <v>212.04000000000002</v>
      </c>
      <c r="J73" s="134"/>
      <c r="K73" s="179"/>
      <c r="L73" s="109"/>
    </row>
    <row r="74" spans="1:12" ht="15.75" customHeight="1">
      <c r="A74" s="371" t="s">
        <v>439</v>
      </c>
      <c r="B74" s="371"/>
      <c r="C74" s="371"/>
      <c r="D74" s="371"/>
      <c r="E74" s="371"/>
      <c r="F74" s="371"/>
      <c r="G74" s="358" t="s">
        <v>386</v>
      </c>
      <c r="H74" s="358"/>
      <c r="I74" s="135">
        <f>I29</f>
        <v>1553.96</v>
      </c>
      <c r="J74" s="134"/>
      <c r="K74" s="179"/>
      <c r="L74" s="109"/>
    </row>
    <row r="75" spans="1:12" ht="15.75" customHeight="1">
      <c r="A75" s="371"/>
      <c r="B75" s="371"/>
      <c r="C75" s="371"/>
      <c r="D75" s="371"/>
      <c r="E75" s="371"/>
      <c r="F75" s="371"/>
      <c r="G75" s="358" t="s">
        <v>430</v>
      </c>
      <c r="H75" s="358"/>
      <c r="I75" s="135">
        <f>I62</f>
        <v>1501.4180000000001</v>
      </c>
      <c r="J75" s="134"/>
      <c r="K75" s="179"/>
      <c r="L75" s="109"/>
    </row>
    <row r="76" spans="1:12" ht="15.75" customHeight="1">
      <c r="A76" s="371"/>
      <c r="B76" s="371"/>
      <c r="C76" s="371"/>
      <c r="D76" s="371"/>
      <c r="E76" s="371"/>
      <c r="F76" s="371"/>
      <c r="G76" s="358" t="s">
        <v>440</v>
      </c>
      <c r="H76" s="358"/>
      <c r="I76" s="135">
        <f>I73</f>
        <v>212.04000000000002</v>
      </c>
      <c r="J76" s="134"/>
      <c r="K76" s="179"/>
      <c r="L76" s="109"/>
    </row>
    <row r="77" spans="1:12" ht="15.75" customHeight="1">
      <c r="A77" s="371"/>
      <c r="B77" s="371"/>
      <c r="C77" s="371"/>
      <c r="D77" s="371"/>
      <c r="E77" s="371"/>
      <c r="F77" s="371"/>
      <c r="G77" s="359" t="s">
        <v>389</v>
      </c>
      <c r="H77" s="359"/>
      <c r="I77" s="140">
        <f>SUM(I74:I76)</f>
        <v>3267.4180000000001</v>
      </c>
      <c r="J77" s="134"/>
      <c r="K77" s="179"/>
      <c r="L77" s="109"/>
    </row>
    <row r="78" spans="1:12" ht="15.75" customHeight="1">
      <c r="A78" s="351" t="s">
        <v>441</v>
      </c>
      <c r="B78" s="351"/>
      <c r="C78" s="351"/>
      <c r="D78" s="351"/>
      <c r="E78" s="351"/>
      <c r="F78" s="351"/>
      <c r="G78" s="351"/>
      <c r="H78" s="351"/>
      <c r="I78" s="351"/>
      <c r="J78" s="131"/>
      <c r="K78" s="179"/>
      <c r="L78" s="109"/>
    </row>
    <row r="79" spans="1:12" ht="15.75" customHeight="1">
      <c r="A79" s="351" t="s">
        <v>442</v>
      </c>
      <c r="B79" s="351"/>
      <c r="C79" s="351"/>
      <c r="D79" s="351"/>
      <c r="E79" s="351"/>
      <c r="F79" s="351"/>
      <c r="G79" s="351"/>
      <c r="H79" s="96" t="s">
        <v>362</v>
      </c>
      <c r="I79" s="96" t="s">
        <v>363</v>
      </c>
      <c r="J79" s="134"/>
      <c r="K79" s="179"/>
      <c r="L79" s="180"/>
    </row>
    <row r="80" spans="1:12" ht="15.75" customHeight="1">
      <c r="A80" s="95" t="s">
        <v>319</v>
      </c>
      <c r="B80" s="352" t="s">
        <v>443</v>
      </c>
      <c r="C80" s="352"/>
      <c r="D80" s="352"/>
      <c r="E80" s="352"/>
      <c r="F80" s="352"/>
      <c r="G80" s="352"/>
      <c r="H80" s="97">
        <f>ROUND(((1+1/3)/12)/12,4)</f>
        <v>9.2999999999999992E-3</v>
      </c>
      <c r="I80" s="133">
        <f t="shared" ref="I80:I85" si="3">ROUND(H80*$I$77,2)</f>
        <v>30.39</v>
      </c>
      <c r="J80" s="134"/>
      <c r="K80" s="179"/>
      <c r="L80" s="109"/>
    </row>
    <row r="81" spans="1:12" ht="15.75" customHeight="1">
      <c r="A81" s="95" t="s">
        <v>322</v>
      </c>
      <c r="B81" s="352" t="s">
        <v>444</v>
      </c>
      <c r="C81" s="352"/>
      <c r="D81" s="352"/>
      <c r="E81" s="352"/>
      <c r="F81" s="352"/>
      <c r="G81" s="352"/>
      <c r="H81" s="97">
        <f>ROUND(2/30/12,4)</f>
        <v>5.5999999999999999E-3</v>
      </c>
      <c r="I81" s="133">
        <f t="shared" si="3"/>
        <v>18.3</v>
      </c>
      <c r="J81" s="134"/>
      <c r="K81" s="109"/>
      <c r="L81" s="109"/>
    </row>
    <row r="82" spans="1:12" ht="15.75" customHeight="1">
      <c r="A82" s="95" t="s">
        <v>326</v>
      </c>
      <c r="B82" s="352" t="s">
        <v>445</v>
      </c>
      <c r="C82" s="352"/>
      <c r="D82" s="352"/>
      <c r="E82" s="352"/>
      <c r="F82" s="352"/>
      <c r="G82" s="352"/>
      <c r="H82" s="97">
        <f>ROUND(((5/30)/12)*2%,4)</f>
        <v>2.9999999999999997E-4</v>
      </c>
      <c r="I82" s="133">
        <f t="shared" si="3"/>
        <v>0.98</v>
      </c>
      <c r="J82" s="134"/>
      <c r="K82" s="109"/>
      <c r="L82" s="109"/>
    </row>
    <row r="83" spans="1:12" ht="15.75" customHeight="1">
      <c r="A83" s="95" t="s">
        <v>330</v>
      </c>
      <c r="B83" s="352" t="s">
        <v>446</v>
      </c>
      <c r="C83" s="352"/>
      <c r="D83" s="352"/>
      <c r="E83" s="352"/>
      <c r="F83" s="352"/>
      <c r="G83" s="352"/>
      <c r="H83" s="97">
        <f>ROUND(((15/30)/12)*8%,4)</f>
        <v>3.3E-3</v>
      </c>
      <c r="I83" s="133">
        <f t="shared" si="3"/>
        <v>10.78</v>
      </c>
      <c r="J83" s="134"/>
      <c r="K83" s="109"/>
      <c r="L83" s="109"/>
    </row>
    <row r="84" spans="1:12" ht="15.75" customHeight="1">
      <c r="A84" s="95" t="s">
        <v>372</v>
      </c>
      <c r="B84" s="352" t="s">
        <v>447</v>
      </c>
      <c r="C84" s="352"/>
      <c r="D84" s="352"/>
      <c r="E84" s="352"/>
      <c r="F84" s="352"/>
      <c r="G84" s="352"/>
      <c r="H84" s="97">
        <f>ROUND(((1+1/3)/12*4/12)*2%,4)</f>
        <v>6.9999999999999999E-4</v>
      </c>
      <c r="I84" s="133">
        <f t="shared" si="3"/>
        <v>2.29</v>
      </c>
      <c r="J84" s="134"/>
      <c r="K84" s="109"/>
      <c r="L84" s="109"/>
    </row>
    <row r="85" spans="1:12" ht="15.75" customHeight="1">
      <c r="A85" s="95" t="s">
        <v>374</v>
      </c>
      <c r="B85" s="352" t="s">
        <v>448</v>
      </c>
      <c r="C85" s="352"/>
      <c r="D85" s="352"/>
      <c r="E85" s="352"/>
      <c r="F85" s="352"/>
      <c r="G85" s="352"/>
      <c r="H85" s="97">
        <v>0</v>
      </c>
      <c r="I85" s="133">
        <f t="shared" si="3"/>
        <v>0</v>
      </c>
      <c r="J85" s="134"/>
      <c r="K85" s="109"/>
      <c r="L85" s="109"/>
    </row>
    <row r="86" spans="1:12" ht="15.75" customHeight="1">
      <c r="A86" s="351" t="s">
        <v>449</v>
      </c>
      <c r="B86" s="351"/>
      <c r="C86" s="351"/>
      <c r="D86" s="351"/>
      <c r="E86" s="351"/>
      <c r="F86" s="351"/>
      <c r="G86" s="351"/>
      <c r="H86" s="98">
        <f>SUM(H80:H85)</f>
        <v>1.9199999999999998E-2</v>
      </c>
      <c r="I86" s="129">
        <f>SUM(I80:I85)</f>
        <v>62.739999999999995</v>
      </c>
      <c r="J86" s="134"/>
      <c r="K86" s="109"/>
      <c r="L86" s="181"/>
    </row>
    <row r="87" spans="1:12" ht="15.75" customHeight="1">
      <c r="A87" s="362"/>
      <c r="B87" s="362"/>
      <c r="C87" s="362"/>
      <c r="D87" s="362"/>
      <c r="E87" s="362"/>
      <c r="F87" s="362"/>
      <c r="G87" s="362"/>
      <c r="H87" s="362"/>
      <c r="I87" s="362"/>
      <c r="J87" s="134"/>
      <c r="K87" s="182"/>
      <c r="L87" s="109"/>
    </row>
    <row r="88" spans="1:12" ht="15.75" customHeight="1">
      <c r="A88" s="351" t="s">
        <v>450</v>
      </c>
      <c r="B88" s="351"/>
      <c r="C88" s="351"/>
      <c r="D88" s="351"/>
      <c r="E88" s="351"/>
      <c r="F88" s="351"/>
      <c r="G88" s="351"/>
      <c r="H88" s="96" t="s">
        <v>362</v>
      </c>
      <c r="I88" s="96" t="s">
        <v>363</v>
      </c>
      <c r="J88" s="134"/>
      <c r="K88" s="109"/>
      <c r="L88" s="109"/>
    </row>
    <row r="89" spans="1:12" ht="15.75" customHeight="1">
      <c r="A89" s="95" t="s">
        <v>319</v>
      </c>
      <c r="B89" s="352" t="s">
        <v>451</v>
      </c>
      <c r="C89" s="352"/>
      <c r="D89" s="352"/>
      <c r="E89" s="352"/>
      <c r="F89" s="352"/>
      <c r="G89" s="352"/>
      <c r="H89" s="97">
        <v>0</v>
      </c>
      <c r="I89" s="133">
        <f>I29*H89</f>
        <v>0</v>
      </c>
      <c r="J89" s="134"/>
      <c r="K89" s="109"/>
      <c r="L89" s="109"/>
    </row>
    <row r="90" spans="1:12" ht="15.75" customHeight="1">
      <c r="A90" s="351" t="s">
        <v>452</v>
      </c>
      <c r="B90" s="351"/>
      <c r="C90" s="351"/>
      <c r="D90" s="351"/>
      <c r="E90" s="351"/>
      <c r="F90" s="351"/>
      <c r="G90" s="351"/>
      <c r="H90" s="98">
        <f>H89</f>
        <v>0</v>
      </c>
      <c r="I90" s="129">
        <f>I89</f>
        <v>0</v>
      </c>
      <c r="J90" s="134"/>
      <c r="K90" s="183"/>
      <c r="L90" s="109"/>
    </row>
    <row r="91" spans="1:12" ht="15.75" customHeight="1">
      <c r="A91" s="362"/>
      <c r="B91" s="362"/>
      <c r="C91" s="362"/>
      <c r="D91" s="362"/>
      <c r="E91" s="362"/>
      <c r="F91" s="362"/>
      <c r="G91" s="362"/>
      <c r="H91" s="362"/>
      <c r="I91" s="362"/>
      <c r="J91" s="134"/>
      <c r="K91" s="109"/>
      <c r="L91" s="109"/>
    </row>
    <row r="92" spans="1:12" ht="15.75" customHeight="1">
      <c r="A92" s="351" t="s">
        <v>453</v>
      </c>
      <c r="B92" s="351"/>
      <c r="C92" s="351"/>
      <c r="D92" s="351"/>
      <c r="E92" s="351"/>
      <c r="F92" s="351"/>
      <c r="G92" s="351"/>
      <c r="H92" s="351"/>
      <c r="I92" s="351"/>
      <c r="J92" s="134"/>
      <c r="K92" s="109"/>
      <c r="L92" s="109"/>
    </row>
    <row r="93" spans="1:12" ht="15.75" customHeight="1">
      <c r="A93" s="351" t="s">
        <v>454</v>
      </c>
      <c r="B93" s="351"/>
      <c r="C93" s="351"/>
      <c r="D93" s="351"/>
      <c r="E93" s="351"/>
      <c r="F93" s="351"/>
      <c r="G93" s="351"/>
      <c r="H93" s="351"/>
      <c r="I93" s="96" t="s">
        <v>363</v>
      </c>
      <c r="J93" s="134"/>
      <c r="K93" s="109"/>
      <c r="L93" s="109"/>
    </row>
    <row r="94" spans="1:12" ht="15.75" customHeight="1">
      <c r="A94" s="95" t="s">
        <v>455</v>
      </c>
      <c r="B94" s="352" t="s">
        <v>456</v>
      </c>
      <c r="C94" s="352"/>
      <c r="D94" s="352"/>
      <c r="E94" s="352"/>
      <c r="F94" s="352"/>
      <c r="G94" s="352"/>
      <c r="H94" s="352"/>
      <c r="I94" s="133">
        <f>I86</f>
        <v>62.739999999999995</v>
      </c>
      <c r="J94" s="134"/>
      <c r="K94" s="109"/>
      <c r="L94" s="109"/>
    </row>
    <row r="95" spans="1:12" ht="15.75" customHeight="1">
      <c r="A95" s="95" t="s">
        <v>457</v>
      </c>
      <c r="B95" s="352" t="s">
        <v>458</v>
      </c>
      <c r="C95" s="352"/>
      <c r="D95" s="352"/>
      <c r="E95" s="352"/>
      <c r="F95" s="352"/>
      <c r="G95" s="352"/>
      <c r="H95" s="352"/>
      <c r="I95" s="133">
        <f>I90</f>
        <v>0</v>
      </c>
      <c r="J95" s="134"/>
      <c r="K95" s="109"/>
      <c r="L95" s="109"/>
    </row>
    <row r="96" spans="1:12" ht="15.75" customHeight="1">
      <c r="A96" s="351" t="s">
        <v>459</v>
      </c>
      <c r="B96" s="351"/>
      <c r="C96" s="351"/>
      <c r="D96" s="351"/>
      <c r="E96" s="351"/>
      <c r="F96" s="351"/>
      <c r="G96" s="351"/>
      <c r="H96" s="351"/>
      <c r="I96" s="129">
        <f>SUM(I94:I95)</f>
        <v>62.739999999999995</v>
      </c>
      <c r="J96" s="134"/>
      <c r="K96" s="109"/>
      <c r="L96" s="109"/>
    </row>
    <row r="97" spans="1:12" ht="15.75" customHeight="1">
      <c r="A97" s="362"/>
      <c r="B97" s="362"/>
      <c r="C97" s="362"/>
      <c r="D97" s="362"/>
      <c r="E97" s="362"/>
      <c r="F97" s="362"/>
      <c r="G97" s="362"/>
      <c r="H97" s="362"/>
      <c r="I97" s="362"/>
      <c r="J97" s="134"/>
      <c r="K97" s="109"/>
      <c r="L97" s="109"/>
    </row>
    <row r="98" spans="1:12" ht="15.75" customHeight="1">
      <c r="A98" s="351" t="s">
        <v>460</v>
      </c>
      <c r="B98" s="351"/>
      <c r="C98" s="351"/>
      <c r="D98" s="351"/>
      <c r="E98" s="351"/>
      <c r="F98" s="351"/>
      <c r="G98" s="351"/>
      <c r="H98" s="351"/>
      <c r="I98" s="351"/>
      <c r="J98" s="134"/>
      <c r="K98" s="109"/>
      <c r="L98" s="109"/>
    </row>
    <row r="99" spans="1:12" ht="15.75" customHeight="1">
      <c r="A99" s="96">
        <v>5</v>
      </c>
      <c r="B99" s="351" t="s">
        <v>461</v>
      </c>
      <c r="C99" s="351"/>
      <c r="D99" s="351"/>
      <c r="E99" s="351"/>
      <c r="F99" s="351"/>
      <c r="G99" s="351"/>
      <c r="H99" s="96"/>
      <c r="I99" s="96" t="s">
        <v>363</v>
      </c>
      <c r="J99" s="134"/>
      <c r="K99" s="109"/>
      <c r="L99" s="109"/>
    </row>
    <row r="100" spans="1:12" ht="15.75" customHeight="1">
      <c r="A100" s="163" t="s">
        <v>319</v>
      </c>
      <c r="B100" s="357" t="s">
        <v>462</v>
      </c>
      <c r="C100" s="357"/>
      <c r="D100" s="357"/>
      <c r="E100" s="357"/>
      <c r="F100" s="357"/>
      <c r="G100" s="357"/>
      <c r="H100" s="164" t="s">
        <v>303</v>
      </c>
      <c r="I100" s="403">
        <v>47.66</v>
      </c>
      <c r="J100" s="134"/>
      <c r="K100" s="109"/>
      <c r="L100" s="109"/>
    </row>
    <row r="101" spans="1:12" ht="15.75" customHeight="1">
      <c r="A101" s="163" t="s">
        <v>322</v>
      </c>
      <c r="B101" s="357" t="s">
        <v>463</v>
      </c>
      <c r="C101" s="357"/>
      <c r="D101" s="357"/>
      <c r="E101" s="357"/>
      <c r="F101" s="357"/>
      <c r="G101" s="357"/>
      <c r="H101" s="164" t="s">
        <v>303</v>
      </c>
      <c r="I101" s="403">
        <v>29.7</v>
      </c>
      <c r="J101" s="134"/>
      <c r="K101" s="109"/>
      <c r="L101" s="109"/>
    </row>
    <row r="102" spans="1:12" ht="15.75" customHeight="1">
      <c r="A102" s="163" t="s">
        <v>326</v>
      </c>
      <c r="B102" s="357" t="s">
        <v>464</v>
      </c>
      <c r="C102" s="357"/>
      <c r="D102" s="357"/>
      <c r="E102" s="357"/>
      <c r="F102" s="357"/>
      <c r="G102" s="357"/>
      <c r="H102" s="164" t="s">
        <v>303</v>
      </c>
      <c r="I102" s="403">
        <v>47.17</v>
      </c>
      <c r="J102" s="134"/>
      <c r="K102" s="109"/>
      <c r="L102" s="109"/>
    </row>
    <row r="103" spans="1:12" ht="15.75" customHeight="1">
      <c r="A103" s="163" t="s">
        <v>330</v>
      </c>
      <c r="B103" s="357" t="s">
        <v>465</v>
      </c>
      <c r="C103" s="357"/>
      <c r="D103" s="357"/>
      <c r="E103" s="357"/>
      <c r="F103" s="357"/>
      <c r="G103" s="357"/>
      <c r="H103" s="165" t="s">
        <v>303</v>
      </c>
      <c r="I103" s="403">
        <v>53.63</v>
      </c>
      <c r="J103" s="134"/>
      <c r="K103" s="109"/>
      <c r="L103" s="109"/>
    </row>
    <row r="104" spans="1:12" ht="15.75" customHeight="1">
      <c r="A104" s="351" t="s">
        <v>466</v>
      </c>
      <c r="B104" s="351"/>
      <c r="C104" s="351"/>
      <c r="D104" s="351"/>
      <c r="E104" s="351"/>
      <c r="F104" s="351"/>
      <c r="G104" s="351"/>
      <c r="H104" s="98" t="s">
        <v>303</v>
      </c>
      <c r="I104" s="129">
        <f>SUM(I100:I103)</f>
        <v>178.16</v>
      </c>
      <c r="J104" s="134"/>
      <c r="K104" s="109"/>
      <c r="L104" s="109"/>
    </row>
    <row r="105" spans="1:12" ht="15.75" customHeight="1">
      <c r="A105" s="371" t="s">
        <v>467</v>
      </c>
      <c r="B105" s="371"/>
      <c r="C105" s="371"/>
      <c r="D105" s="371"/>
      <c r="E105" s="371"/>
      <c r="F105" s="371"/>
      <c r="G105" s="358" t="s">
        <v>386</v>
      </c>
      <c r="H105" s="358"/>
      <c r="I105" s="135">
        <f>I29</f>
        <v>1553.96</v>
      </c>
      <c r="J105" s="134"/>
      <c r="K105" s="109"/>
      <c r="L105" s="109"/>
    </row>
    <row r="106" spans="1:12" ht="15.75" customHeight="1">
      <c r="A106" s="371"/>
      <c r="B106" s="371"/>
      <c r="C106" s="371"/>
      <c r="D106" s="371"/>
      <c r="E106" s="371"/>
      <c r="F106" s="371"/>
      <c r="G106" s="358" t="s">
        <v>430</v>
      </c>
      <c r="H106" s="358"/>
      <c r="I106" s="135">
        <f>I62</f>
        <v>1501.4180000000001</v>
      </c>
      <c r="J106" s="134"/>
      <c r="K106" s="109"/>
      <c r="L106" s="109"/>
    </row>
    <row r="107" spans="1:12" ht="15.75" customHeight="1">
      <c r="A107" s="371"/>
      <c r="B107" s="371"/>
      <c r="C107" s="371"/>
      <c r="D107" s="371"/>
      <c r="E107" s="371"/>
      <c r="F107" s="371"/>
      <c r="G107" s="358" t="s">
        <v>440</v>
      </c>
      <c r="H107" s="358"/>
      <c r="I107" s="135">
        <f>I73</f>
        <v>212.04000000000002</v>
      </c>
      <c r="J107" s="134"/>
      <c r="K107" s="109"/>
      <c r="L107" s="109"/>
    </row>
    <row r="108" spans="1:12" ht="15.75" customHeight="1">
      <c r="A108" s="371"/>
      <c r="B108" s="371"/>
      <c r="C108" s="371"/>
      <c r="D108" s="371"/>
      <c r="E108" s="371"/>
      <c r="F108" s="371"/>
      <c r="G108" s="358" t="s">
        <v>468</v>
      </c>
      <c r="H108" s="358"/>
      <c r="I108" s="135">
        <f>I96</f>
        <v>62.739999999999995</v>
      </c>
      <c r="J108" s="134"/>
      <c r="K108" s="141"/>
      <c r="L108" s="141"/>
    </row>
    <row r="109" spans="1:12" ht="15.75" customHeight="1">
      <c r="A109" s="371"/>
      <c r="B109" s="371"/>
      <c r="C109" s="371"/>
      <c r="D109" s="371"/>
      <c r="E109" s="371"/>
      <c r="F109" s="371"/>
      <c r="G109" s="358" t="s">
        <v>469</v>
      </c>
      <c r="H109" s="358"/>
      <c r="I109" s="135">
        <f>I104</f>
        <v>178.16</v>
      </c>
      <c r="J109" s="134"/>
      <c r="K109" s="141"/>
      <c r="L109" s="141"/>
    </row>
    <row r="110" spans="1:12" ht="15.75" customHeight="1">
      <c r="A110" s="371"/>
      <c r="B110" s="371"/>
      <c r="C110" s="371"/>
      <c r="D110" s="371"/>
      <c r="E110" s="371"/>
      <c r="F110" s="371"/>
      <c r="G110" s="359" t="s">
        <v>389</v>
      </c>
      <c r="H110" s="359"/>
      <c r="I110" s="140">
        <f>SUM(I105:I109)</f>
        <v>3508.3179999999998</v>
      </c>
      <c r="J110" s="134"/>
      <c r="K110" s="109"/>
      <c r="L110" s="109"/>
    </row>
    <row r="111" spans="1:12" ht="15.75" customHeight="1">
      <c r="A111" s="351" t="s">
        <v>470</v>
      </c>
      <c r="B111" s="351"/>
      <c r="C111" s="351"/>
      <c r="D111" s="351"/>
      <c r="E111" s="351"/>
      <c r="F111" s="351"/>
      <c r="G111" s="351"/>
      <c r="H111" s="351"/>
      <c r="I111" s="351"/>
      <c r="J111" s="134"/>
      <c r="K111" s="109"/>
      <c r="L111" s="109"/>
    </row>
    <row r="112" spans="1:12" ht="15.75" customHeight="1">
      <c r="A112" s="96">
        <v>6</v>
      </c>
      <c r="B112" s="351" t="s">
        <v>471</v>
      </c>
      <c r="C112" s="351"/>
      <c r="D112" s="351"/>
      <c r="E112" s="351"/>
      <c r="F112" s="351"/>
      <c r="G112" s="351"/>
      <c r="H112" s="96" t="s">
        <v>362</v>
      </c>
      <c r="I112" s="96" t="s">
        <v>363</v>
      </c>
      <c r="J112" s="134"/>
      <c r="K112" s="109"/>
      <c r="L112" s="109"/>
    </row>
    <row r="113" spans="1:12" ht="15.75" customHeight="1">
      <c r="A113" s="95" t="s">
        <v>319</v>
      </c>
      <c r="B113" s="352" t="s">
        <v>472</v>
      </c>
      <c r="C113" s="352"/>
      <c r="D113" s="352"/>
      <c r="E113" s="352"/>
      <c r="F113" s="352"/>
      <c r="G113" s="352"/>
      <c r="H113" s="404">
        <v>1.4999999999999999E-2</v>
      </c>
      <c r="I113" s="133">
        <f>ROUND(H113*I110,2)</f>
        <v>52.62</v>
      </c>
      <c r="J113" s="134"/>
      <c r="K113" s="109"/>
      <c r="L113" s="109"/>
    </row>
    <row r="114" spans="1:12" ht="15.75" customHeight="1">
      <c r="A114" s="95" t="s">
        <v>322</v>
      </c>
      <c r="B114" s="352" t="s">
        <v>473</v>
      </c>
      <c r="C114" s="352"/>
      <c r="D114" s="352"/>
      <c r="E114" s="352"/>
      <c r="F114" s="352"/>
      <c r="G114" s="352"/>
      <c r="H114" s="404">
        <v>1.4999999999999999E-2</v>
      </c>
      <c r="I114" s="133">
        <f>ROUND(H114*(I110+I113),2)</f>
        <v>53.41</v>
      </c>
      <c r="J114" s="134"/>
      <c r="K114" s="109"/>
      <c r="L114" s="109"/>
    </row>
    <row r="115" spans="1:12" ht="15.75" customHeight="1">
      <c r="A115" s="95" t="s">
        <v>326</v>
      </c>
      <c r="B115" s="364" t="s">
        <v>474</v>
      </c>
      <c r="C115" s="364"/>
      <c r="D115" s="364"/>
      <c r="E115" s="364"/>
      <c r="F115" s="364"/>
      <c r="G115" s="364"/>
      <c r="H115" s="97"/>
      <c r="I115" s="184"/>
      <c r="J115" s="134"/>
      <c r="K115" s="109"/>
      <c r="L115" s="109"/>
    </row>
    <row r="116" spans="1:12" ht="15.75" customHeight="1">
      <c r="A116" s="95" t="s">
        <v>475</v>
      </c>
      <c r="B116" s="352" t="s">
        <v>476</v>
      </c>
      <c r="C116" s="352"/>
      <c r="D116" s="352"/>
      <c r="E116" s="352"/>
      <c r="F116" s="352"/>
      <c r="G116" s="352"/>
      <c r="H116" s="404">
        <v>5.7999999999999996E-3</v>
      </c>
      <c r="I116" s="133">
        <f>ROUND($I$126*H116,2)</f>
        <v>22.85</v>
      </c>
      <c r="J116" s="134"/>
      <c r="K116" s="109"/>
      <c r="L116" s="109"/>
    </row>
    <row r="117" spans="1:12" ht="15.75" customHeight="1">
      <c r="A117" s="95" t="s">
        <v>477</v>
      </c>
      <c r="B117" s="352" t="s">
        <v>376</v>
      </c>
      <c r="C117" s="352"/>
      <c r="D117" s="352"/>
      <c r="E117" s="352"/>
      <c r="F117" s="352"/>
      <c r="G117" s="352"/>
      <c r="H117" s="404">
        <v>2.6599999999999999E-2</v>
      </c>
      <c r="I117" s="133">
        <f>ROUND($I$126*H117,2)</f>
        <v>104.78</v>
      </c>
      <c r="J117" s="134"/>
      <c r="K117" s="109"/>
      <c r="L117" s="109"/>
    </row>
    <row r="118" spans="1:12" ht="15.75" customHeight="1">
      <c r="A118" s="95" t="s">
        <v>478</v>
      </c>
      <c r="B118" s="352" t="s">
        <v>479</v>
      </c>
      <c r="C118" s="352"/>
      <c r="D118" s="352"/>
      <c r="E118" s="352"/>
      <c r="F118" s="352"/>
      <c r="G118" s="352"/>
      <c r="H118" s="167">
        <v>0.05</v>
      </c>
      <c r="I118" s="133">
        <f>ROUND($I$126*H118,2)</f>
        <v>196.95</v>
      </c>
      <c r="J118" s="134"/>
      <c r="K118" s="109"/>
      <c r="L118" s="109"/>
    </row>
    <row r="119" spans="1:12" ht="15.75" customHeight="1">
      <c r="A119" s="351" t="s">
        <v>480</v>
      </c>
      <c r="B119" s="351"/>
      <c r="C119" s="351"/>
      <c r="D119" s="351"/>
      <c r="E119" s="351"/>
      <c r="F119" s="351"/>
      <c r="G119" s="351"/>
      <c r="H119" s="168">
        <f>SUM(H113:H118)</f>
        <v>0.1124</v>
      </c>
      <c r="I119" s="129">
        <f>SUM(I113:I118)</f>
        <v>430.61</v>
      </c>
      <c r="J119" s="134"/>
      <c r="K119" s="109"/>
      <c r="L119" s="109"/>
    </row>
    <row r="120" spans="1:12" ht="15.75" customHeight="1">
      <c r="A120" s="169"/>
      <c r="B120" s="170"/>
      <c r="C120" s="170"/>
      <c r="D120" s="170"/>
      <c r="E120" s="170"/>
      <c r="F120" s="170"/>
      <c r="G120" s="170"/>
      <c r="H120" s="171"/>
      <c r="I120" s="185"/>
      <c r="J120" s="134"/>
      <c r="K120" s="109"/>
      <c r="L120" s="109"/>
    </row>
    <row r="121" spans="1:12" ht="15.75" customHeight="1">
      <c r="A121" s="172" t="s">
        <v>481</v>
      </c>
      <c r="B121" s="365" t="s">
        <v>482</v>
      </c>
      <c r="C121" s="365"/>
      <c r="D121" s="365"/>
      <c r="E121" s="365"/>
      <c r="F121" s="365"/>
      <c r="G121" s="365"/>
      <c r="H121" s="174">
        <f>SUM(H116+H117+H118)</f>
        <v>8.2400000000000001E-2</v>
      </c>
      <c r="I121" s="186"/>
      <c r="J121" s="134"/>
      <c r="K121" s="109"/>
      <c r="L121" s="109"/>
    </row>
    <row r="122" spans="1:12" ht="15.75" customHeight="1">
      <c r="A122" s="172"/>
      <c r="B122" s="365">
        <v>100</v>
      </c>
      <c r="C122" s="365"/>
      <c r="D122" s="365"/>
      <c r="E122" s="365"/>
      <c r="F122" s="365"/>
      <c r="G122" s="365"/>
      <c r="H122" s="174"/>
      <c r="I122" s="186"/>
      <c r="J122" s="134"/>
      <c r="K122" s="109"/>
      <c r="L122" s="109"/>
    </row>
    <row r="123" spans="1:12" ht="15.75" customHeight="1">
      <c r="A123" s="175"/>
      <c r="B123" s="176"/>
      <c r="C123" s="176"/>
      <c r="D123" s="176"/>
      <c r="E123" s="176"/>
      <c r="F123" s="176"/>
      <c r="G123" s="176"/>
      <c r="H123" s="176"/>
      <c r="I123" s="187"/>
      <c r="J123" s="134"/>
      <c r="K123" s="141"/>
      <c r="L123" s="141"/>
    </row>
    <row r="124" spans="1:12" ht="15.75" customHeight="1">
      <c r="A124" s="172" t="s">
        <v>483</v>
      </c>
      <c r="B124" s="365" t="s">
        <v>484</v>
      </c>
      <c r="C124" s="365"/>
      <c r="D124" s="365"/>
      <c r="E124" s="365"/>
      <c r="F124" s="365"/>
      <c r="G124" s="365"/>
      <c r="H124" s="174"/>
      <c r="I124" s="186">
        <f>I110+I113+I114</f>
        <v>3614.3479999999995</v>
      </c>
      <c r="J124" s="134"/>
      <c r="K124" s="109"/>
      <c r="L124" s="109"/>
    </row>
    <row r="125" spans="1:12" ht="15.75" customHeight="1">
      <c r="A125" s="177"/>
      <c r="B125" s="178"/>
      <c r="C125" s="178"/>
      <c r="D125" s="178"/>
      <c r="E125" s="178"/>
      <c r="F125" s="178"/>
      <c r="G125" s="178"/>
      <c r="H125" s="178"/>
      <c r="I125" s="188"/>
      <c r="J125" s="134"/>
      <c r="K125" s="109"/>
      <c r="L125" s="109"/>
    </row>
    <row r="126" spans="1:12" ht="15.75" customHeight="1">
      <c r="A126" s="172" t="s">
        <v>485</v>
      </c>
      <c r="B126" s="365" t="s">
        <v>486</v>
      </c>
      <c r="C126" s="365"/>
      <c r="D126" s="365"/>
      <c r="E126" s="365"/>
      <c r="F126" s="365"/>
      <c r="G126" s="365"/>
      <c r="H126" s="174"/>
      <c r="I126" s="186">
        <f>ROUND(I124/(1-H121),2)</f>
        <v>3938.91</v>
      </c>
      <c r="J126" s="134"/>
      <c r="K126" s="109"/>
      <c r="L126" s="109"/>
    </row>
    <row r="127" spans="1:12" ht="15.75" customHeight="1">
      <c r="A127" s="172"/>
      <c r="B127" s="173"/>
      <c r="C127" s="173"/>
      <c r="D127" s="173"/>
      <c r="E127" s="173"/>
      <c r="F127" s="173"/>
      <c r="G127" s="173"/>
      <c r="H127" s="174"/>
      <c r="I127" s="186"/>
      <c r="J127" s="134"/>
      <c r="K127" s="109"/>
      <c r="L127" s="109"/>
    </row>
    <row r="128" spans="1:12" ht="15.75" customHeight="1">
      <c r="A128" s="172"/>
      <c r="B128" s="365" t="s">
        <v>487</v>
      </c>
      <c r="C128" s="365"/>
      <c r="D128" s="365"/>
      <c r="E128" s="365"/>
      <c r="F128" s="365"/>
      <c r="G128" s="365"/>
      <c r="H128" s="174"/>
      <c r="I128" s="186">
        <f>I126-I124</f>
        <v>324.56200000000035</v>
      </c>
      <c r="J128" s="134"/>
      <c r="K128" s="109"/>
      <c r="L128" s="109"/>
    </row>
    <row r="129" spans="1:12" ht="15.75" customHeight="1">
      <c r="A129" s="172"/>
      <c r="B129" s="173"/>
      <c r="H129" s="174"/>
      <c r="I129" s="186"/>
      <c r="J129" s="134"/>
      <c r="K129" s="109"/>
      <c r="L129" s="109"/>
    </row>
    <row r="130" spans="1:12" ht="15.75" customHeight="1">
      <c r="A130" s="351" t="s">
        <v>488</v>
      </c>
      <c r="B130" s="351"/>
      <c r="C130" s="351"/>
      <c r="D130" s="351"/>
      <c r="E130" s="351"/>
      <c r="F130" s="351"/>
      <c r="G130" s="351"/>
      <c r="H130" s="351"/>
      <c r="I130" s="351"/>
      <c r="J130" s="134"/>
      <c r="K130" s="109"/>
      <c r="L130" s="109"/>
    </row>
    <row r="131" spans="1:12" ht="15.75" customHeight="1">
      <c r="A131" s="351" t="s">
        <v>489</v>
      </c>
      <c r="B131" s="351"/>
      <c r="C131" s="351"/>
      <c r="D131" s="351"/>
      <c r="E131" s="351"/>
      <c r="F131" s="351"/>
      <c r="G131" s="351"/>
      <c r="H131" s="351"/>
      <c r="I131" s="96" t="s">
        <v>363</v>
      </c>
      <c r="J131" s="134"/>
      <c r="K131" s="141"/>
      <c r="L131" s="141"/>
    </row>
    <row r="132" spans="1:12" ht="15.75" customHeight="1">
      <c r="A132" s="63" t="s">
        <v>319</v>
      </c>
      <c r="B132" s="352" t="str">
        <f>A21</f>
        <v>MÓDULO 1 - COMPOSIÇÃO DA REMUNERAÇÃO</v>
      </c>
      <c r="C132" s="352"/>
      <c r="D132" s="352"/>
      <c r="E132" s="352"/>
      <c r="F132" s="352"/>
      <c r="G132" s="352"/>
      <c r="H132" s="352"/>
      <c r="I132" s="189">
        <f>I29</f>
        <v>1553.96</v>
      </c>
      <c r="J132" s="134"/>
      <c r="K132" s="141"/>
      <c r="L132" s="141"/>
    </row>
    <row r="133" spans="1:12" ht="15.75" customHeight="1">
      <c r="A133" s="63" t="s">
        <v>322</v>
      </c>
      <c r="B133" s="352" t="str">
        <f>A31</f>
        <v>MÓDULO 2 – ENCARGOS E BENEFÍCIOS ANUAIS, MENSAIS E DIÁRIOS</v>
      </c>
      <c r="C133" s="352"/>
      <c r="D133" s="352"/>
      <c r="E133" s="352"/>
      <c r="F133" s="352"/>
      <c r="G133" s="352"/>
      <c r="H133" s="352"/>
      <c r="I133" s="189">
        <f>I62</f>
        <v>1501.4180000000001</v>
      </c>
      <c r="J133" s="134"/>
      <c r="K133" s="141"/>
      <c r="L133" s="141"/>
    </row>
    <row r="134" spans="1:12" ht="15.75" customHeight="1">
      <c r="A134" s="63" t="s">
        <v>326</v>
      </c>
      <c r="B134" s="352" t="str">
        <f>A66</f>
        <v>MÓDULO 3 – PROVISÃO PARA RESCISÃO</v>
      </c>
      <c r="C134" s="352"/>
      <c r="D134" s="352"/>
      <c r="E134" s="352"/>
      <c r="F134" s="352"/>
      <c r="G134" s="352"/>
      <c r="H134" s="352"/>
      <c r="I134" s="189">
        <f>I73</f>
        <v>212.04000000000002</v>
      </c>
      <c r="J134" s="134"/>
      <c r="K134" s="100"/>
      <c r="L134" s="100"/>
    </row>
    <row r="135" spans="1:12" ht="15.75" customHeight="1">
      <c r="A135" s="63" t="s">
        <v>330</v>
      </c>
      <c r="B135" s="352" t="str">
        <f>A78</f>
        <v>MÓDULO 4 – CUSTO DE REPOSIÇÃO DO PROFISSIONAL AUSENTE</v>
      </c>
      <c r="C135" s="352"/>
      <c r="D135" s="352"/>
      <c r="E135" s="352"/>
      <c r="F135" s="352"/>
      <c r="G135" s="352"/>
      <c r="H135" s="352"/>
      <c r="I135" s="189">
        <f>I96</f>
        <v>62.739999999999995</v>
      </c>
      <c r="J135" s="190"/>
      <c r="K135" s="100"/>
      <c r="L135" s="100"/>
    </row>
    <row r="136" spans="1:12" ht="15.75" customHeight="1">
      <c r="A136" s="63" t="s">
        <v>372</v>
      </c>
      <c r="B136" s="352" t="str">
        <f>A98</f>
        <v>MÓDULO 5 – INSUMOS DIVERSOS</v>
      </c>
      <c r="C136" s="352"/>
      <c r="D136" s="352"/>
      <c r="E136" s="352"/>
      <c r="F136" s="352"/>
      <c r="G136" s="352"/>
      <c r="H136" s="352"/>
      <c r="I136" s="189">
        <f>I104</f>
        <v>178.16</v>
      </c>
      <c r="J136" s="134"/>
      <c r="K136" s="100"/>
      <c r="L136" s="100"/>
    </row>
    <row r="137" spans="1:12" ht="15.75" customHeight="1">
      <c r="A137" s="351" t="s">
        <v>490</v>
      </c>
      <c r="B137" s="351"/>
      <c r="C137" s="351"/>
      <c r="D137" s="351"/>
      <c r="E137" s="351"/>
      <c r="F137" s="351"/>
      <c r="G137" s="351"/>
      <c r="H137" s="351"/>
      <c r="I137" s="129">
        <f>SUM(I132:I136)</f>
        <v>3508.3179999999998</v>
      </c>
      <c r="J137" s="134"/>
    </row>
    <row r="138" spans="1:12" ht="15.75" customHeight="1">
      <c r="A138" s="63" t="s">
        <v>374</v>
      </c>
      <c r="B138" s="352" t="str">
        <f>A111</f>
        <v>MÓDULO 6 – CUSTOS INDIRETOS, TRIBUTOS E LUCRO</v>
      </c>
      <c r="C138" s="352"/>
      <c r="D138" s="352"/>
      <c r="E138" s="352"/>
      <c r="F138" s="352"/>
      <c r="G138" s="352"/>
      <c r="H138" s="352"/>
      <c r="I138" s="189">
        <f>I119</f>
        <v>430.61</v>
      </c>
      <c r="J138" s="191">
        <f>SUM(J28:J137)</f>
        <v>2851.2740400000002</v>
      </c>
    </row>
    <row r="139" spans="1:12" ht="15.75" customHeight="1">
      <c r="A139" s="351" t="s">
        <v>491</v>
      </c>
      <c r="B139" s="351"/>
      <c r="C139" s="351"/>
      <c r="D139" s="351"/>
      <c r="E139" s="351"/>
      <c r="F139" s="351"/>
      <c r="G139" s="351"/>
      <c r="H139" s="351"/>
      <c r="I139" s="129">
        <f>SUM(I137:I138)</f>
        <v>3938.9279999999999</v>
      </c>
    </row>
    <row r="140" spans="1:12" ht="15.75" customHeight="1"/>
    <row r="141" spans="1:12" ht="15.75" customHeight="1"/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4" firstPageNumber="0" orientation="portrait" useFirstPageNumber="1" horizontalDpi="300" verticalDpi="300"/>
  <rowBreaks count="1" manualBreakCount="1">
    <brk id="140" max="16383" man="1"/>
  </rowBreaks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997"/>
  <sheetViews>
    <sheetView topLeftCell="C84" zoomScale="90" zoomScaleNormal="90" workbookViewId="0">
      <selection activeCell="B116" sqref="B116:G116"/>
    </sheetView>
  </sheetViews>
  <sheetFormatPr defaultColWidth="9" defaultRowHeight="15"/>
  <cols>
    <col min="1" max="1" width="7.42578125" customWidth="1"/>
    <col min="2" max="2" width="10.85546875" customWidth="1"/>
    <col min="3" max="4" width="14.85546875" customWidth="1"/>
    <col min="5" max="5" width="12.42578125" customWidth="1"/>
    <col min="6" max="6" width="10.42578125" customWidth="1"/>
    <col min="7" max="7" width="14.7109375" customWidth="1"/>
    <col min="8" max="8" width="17.28515625" customWidth="1"/>
    <col min="9" max="9" width="28.5703125" customWidth="1"/>
    <col min="10" max="10" width="22.85546875" customWidth="1"/>
    <col min="11" max="11" width="26.28515625" customWidth="1"/>
    <col min="12" max="12" width="23.140625" customWidth="1"/>
    <col min="13" max="1025" width="14.42578125" customWidth="1"/>
  </cols>
  <sheetData>
    <row r="1" spans="1:12" ht="15.75">
      <c r="A1" s="348" t="s">
        <v>513</v>
      </c>
      <c r="B1" s="348"/>
      <c r="C1" s="348"/>
      <c r="D1" s="348"/>
      <c r="E1" s="348"/>
      <c r="F1" s="348"/>
      <c r="G1" s="348"/>
      <c r="H1" s="348"/>
      <c r="I1" s="348"/>
      <c r="J1" s="366" t="s">
        <v>315</v>
      </c>
      <c r="K1" s="100"/>
      <c r="L1" s="100"/>
    </row>
    <row r="2" spans="1:12" ht="15.75">
      <c r="A2" s="348"/>
      <c r="B2" s="348"/>
      <c r="C2" s="348"/>
      <c r="D2" s="348"/>
      <c r="E2" s="348"/>
      <c r="F2" s="348"/>
      <c r="G2" s="348"/>
      <c r="H2" s="348"/>
      <c r="I2" s="348"/>
      <c r="J2" s="366"/>
      <c r="K2" s="100"/>
      <c r="L2" s="100"/>
    </row>
    <row r="3" spans="1:12" ht="15.75">
      <c r="A3" s="348" t="s">
        <v>316</v>
      </c>
      <c r="B3" s="348"/>
      <c r="C3" s="348"/>
      <c r="D3" s="348"/>
      <c r="E3" s="348"/>
      <c r="F3" s="348"/>
      <c r="G3" s="348"/>
      <c r="H3" s="350" t="s">
        <v>317</v>
      </c>
      <c r="I3" s="350"/>
      <c r="J3" s="366"/>
      <c r="K3" s="100"/>
      <c r="L3" s="100"/>
    </row>
    <row r="4" spans="1:12" ht="15.75">
      <c r="A4" s="348"/>
      <c r="B4" s="348"/>
      <c r="C4" s="348"/>
      <c r="D4" s="348"/>
      <c r="E4" s="348"/>
      <c r="F4" s="348"/>
      <c r="G4" s="348"/>
      <c r="H4" s="348"/>
      <c r="I4" s="348"/>
      <c r="J4" s="366"/>
      <c r="K4" s="101"/>
      <c r="L4" s="101"/>
    </row>
    <row r="5" spans="1:12" ht="15.75">
      <c r="A5" s="351" t="s">
        <v>318</v>
      </c>
      <c r="B5" s="351"/>
      <c r="C5" s="351"/>
      <c r="D5" s="351"/>
      <c r="E5" s="351"/>
      <c r="F5" s="351"/>
      <c r="G5" s="351"/>
      <c r="H5" s="351"/>
      <c r="I5" s="351"/>
      <c r="J5" s="366"/>
      <c r="K5" s="100"/>
      <c r="L5" s="100"/>
    </row>
    <row r="6" spans="1:12" ht="15.75">
      <c r="A6" s="63" t="s">
        <v>319</v>
      </c>
      <c r="B6" s="352" t="s">
        <v>320</v>
      </c>
      <c r="C6" s="352"/>
      <c r="D6" s="352"/>
      <c r="E6" s="352"/>
      <c r="F6" s="352"/>
      <c r="G6" s="352"/>
      <c r="H6" s="352"/>
      <c r="I6" s="102"/>
      <c r="J6" s="366"/>
      <c r="K6" s="103" t="s">
        <v>321</v>
      </c>
      <c r="L6" s="104"/>
    </row>
    <row r="7" spans="1:12" ht="15.75">
      <c r="A7" s="63" t="s">
        <v>322</v>
      </c>
      <c r="B7" s="352" t="s">
        <v>323</v>
      </c>
      <c r="C7" s="352"/>
      <c r="D7" s="352"/>
      <c r="E7" s="352"/>
      <c r="F7" s="352"/>
      <c r="G7" s="352"/>
      <c r="H7" s="352"/>
      <c r="I7" s="63" t="s">
        <v>324</v>
      </c>
      <c r="J7" s="366"/>
      <c r="K7" s="105" t="s">
        <v>325</v>
      </c>
      <c r="L7" s="106"/>
    </row>
    <row r="8" spans="1:12" ht="15.75">
      <c r="A8" s="63" t="s">
        <v>326</v>
      </c>
      <c r="B8" s="352" t="s">
        <v>327</v>
      </c>
      <c r="C8" s="352"/>
      <c r="D8" s="352"/>
      <c r="E8" s="352"/>
      <c r="F8" s="352"/>
      <c r="G8" s="352"/>
      <c r="H8" s="352"/>
      <c r="I8" s="63" t="s">
        <v>328</v>
      </c>
      <c r="J8" s="366"/>
      <c r="K8" s="107" t="s">
        <v>329</v>
      </c>
      <c r="L8" s="108">
        <f>J138</f>
        <v>2851.2740400000002</v>
      </c>
    </row>
    <row r="9" spans="1:12" ht="15.75">
      <c r="A9" s="63" t="s">
        <v>330</v>
      </c>
      <c r="B9" s="352" t="s">
        <v>331</v>
      </c>
      <c r="C9" s="352"/>
      <c r="D9" s="352"/>
      <c r="E9" s="352"/>
      <c r="F9" s="352"/>
      <c r="G9" s="352"/>
      <c r="H9" s="352"/>
      <c r="I9" s="63">
        <v>12</v>
      </c>
      <c r="J9" s="366"/>
      <c r="K9" s="109"/>
      <c r="L9" s="109"/>
    </row>
    <row r="10" spans="1:12" ht="15.75">
      <c r="A10" s="353"/>
      <c r="B10" s="353"/>
      <c r="C10" s="353"/>
      <c r="D10" s="353"/>
      <c r="E10" s="353"/>
      <c r="F10" s="353"/>
      <c r="G10" s="353"/>
      <c r="H10" s="353"/>
      <c r="I10" s="353"/>
      <c r="J10" s="366"/>
      <c r="K10" s="103" t="s">
        <v>332</v>
      </c>
      <c r="L10" s="104"/>
    </row>
    <row r="11" spans="1:12" ht="12.75" customHeight="1">
      <c r="A11" s="351" t="s">
        <v>333</v>
      </c>
      <c r="B11" s="351"/>
      <c r="C11" s="351"/>
      <c r="D11" s="351"/>
      <c r="E11" s="351"/>
      <c r="F11" s="351"/>
      <c r="G11" s="351"/>
      <c r="H11" s="351"/>
      <c r="I11" s="351"/>
      <c r="J11" s="366"/>
      <c r="K11" s="110" t="s">
        <v>334</v>
      </c>
      <c r="L11" s="111"/>
    </row>
    <row r="12" spans="1:12" ht="15.75">
      <c r="A12" s="350" t="s">
        <v>335</v>
      </c>
      <c r="B12" s="350"/>
      <c r="C12" s="350" t="s">
        <v>336</v>
      </c>
      <c r="D12" s="350"/>
      <c r="E12" s="350" t="s">
        <v>337</v>
      </c>
      <c r="F12" s="350"/>
      <c r="G12" s="350"/>
      <c r="H12" s="350"/>
      <c r="I12" s="350"/>
      <c r="J12" s="366"/>
      <c r="K12" s="112" t="s">
        <v>338</v>
      </c>
      <c r="L12" s="113">
        <v>0.11</v>
      </c>
    </row>
    <row r="13" spans="1:12" ht="15.75">
      <c r="A13" s="354" t="s">
        <v>339</v>
      </c>
      <c r="B13" s="354"/>
      <c r="C13" s="355" t="s">
        <v>499</v>
      </c>
      <c r="D13" s="355"/>
      <c r="E13" s="350"/>
      <c r="F13" s="350"/>
      <c r="G13" s="350"/>
      <c r="H13" s="350"/>
      <c r="I13" s="350"/>
      <c r="J13" s="366"/>
      <c r="K13" s="114" t="s">
        <v>341</v>
      </c>
      <c r="L13" s="115">
        <f>I52</f>
        <v>473.82</v>
      </c>
    </row>
    <row r="14" spans="1:12" ht="15.75">
      <c r="A14" s="351" t="s">
        <v>342</v>
      </c>
      <c r="B14" s="351"/>
      <c r="C14" s="351"/>
      <c r="D14" s="351"/>
      <c r="E14" s="351"/>
      <c r="F14" s="351"/>
      <c r="G14" s="351"/>
      <c r="H14" s="351"/>
      <c r="I14" s="351"/>
      <c r="J14" s="366"/>
      <c r="K14" s="114" t="s">
        <v>343</v>
      </c>
      <c r="L14" s="115">
        <f>I104</f>
        <v>178.16</v>
      </c>
    </row>
    <row r="15" spans="1:12" ht="26.25">
      <c r="A15" s="63">
        <v>1</v>
      </c>
      <c r="B15" s="352" t="s">
        <v>344</v>
      </c>
      <c r="C15" s="352"/>
      <c r="D15" s="352"/>
      <c r="E15" s="352"/>
      <c r="F15" s="352"/>
      <c r="G15" s="352"/>
      <c r="H15" s="352"/>
      <c r="I15" s="69" t="s">
        <v>500</v>
      </c>
      <c r="J15" s="366"/>
      <c r="K15" s="114" t="s">
        <v>346</v>
      </c>
      <c r="L15" s="115">
        <f>I51</f>
        <v>0</v>
      </c>
    </row>
    <row r="16" spans="1:12" ht="15.75">
      <c r="A16" s="63">
        <v>2</v>
      </c>
      <c r="B16" s="352" t="s">
        <v>347</v>
      </c>
      <c r="C16" s="352"/>
      <c r="D16" s="352"/>
      <c r="E16" s="352"/>
      <c r="F16" s="352"/>
      <c r="G16" s="352"/>
      <c r="H16" s="352"/>
      <c r="I16" s="63" t="s">
        <v>501</v>
      </c>
      <c r="J16" s="366"/>
      <c r="K16" s="116" t="s">
        <v>349</v>
      </c>
      <c r="L16" s="117">
        <f>SUM(L13:L15)</f>
        <v>651.98</v>
      </c>
    </row>
    <row r="17" spans="1:12" ht="15.75">
      <c r="A17" s="63">
        <v>3</v>
      </c>
      <c r="B17" s="352" t="s">
        <v>350</v>
      </c>
      <c r="C17" s="352"/>
      <c r="D17" s="352"/>
      <c r="E17" s="352"/>
      <c r="F17" s="352"/>
      <c r="G17" s="352"/>
      <c r="H17" s="352"/>
      <c r="I17" s="64">
        <v>1553.96</v>
      </c>
      <c r="J17" s="366"/>
      <c r="K17" s="114" t="s">
        <v>351</v>
      </c>
      <c r="L17" s="118">
        <f>I139</f>
        <v>3938.9279999999999</v>
      </c>
    </row>
    <row r="18" spans="1:12" ht="38.25">
      <c r="A18" s="6">
        <v>4</v>
      </c>
      <c r="B18" s="356" t="s">
        <v>352</v>
      </c>
      <c r="C18" s="356"/>
      <c r="D18" s="356"/>
      <c r="E18" s="356"/>
      <c r="F18" s="356"/>
      <c r="G18" s="356"/>
      <c r="H18" s="356"/>
      <c r="I18" s="13" t="s">
        <v>353</v>
      </c>
      <c r="J18" s="366"/>
      <c r="K18" s="119" t="s">
        <v>354</v>
      </c>
      <c r="L18" s="120">
        <f>L17-L16</f>
        <v>3286.9479999999999</v>
      </c>
    </row>
    <row r="19" spans="1:12" ht="15.75">
      <c r="A19" s="63">
        <v>5</v>
      </c>
      <c r="B19" s="352" t="s">
        <v>355</v>
      </c>
      <c r="C19" s="352"/>
      <c r="D19" s="352"/>
      <c r="E19" s="352"/>
      <c r="F19" s="352"/>
      <c r="G19" s="352"/>
      <c r="H19" s="352"/>
      <c r="I19" s="102" t="s">
        <v>356</v>
      </c>
      <c r="J19" s="366"/>
      <c r="K19" s="121" t="s">
        <v>357</v>
      </c>
      <c r="L19" s="122">
        <f>L18*11%</f>
        <v>361.56428</v>
      </c>
    </row>
    <row r="20" spans="1:12" ht="15.75">
      <c r="A20" s="357"/>
      <c r="B20" s="357"/>
      <c r="C20" s="357"/>
      <c r="D20" s="357"/>
      <c r="E20" s="357"/>
      <c r="F20" s="357"/>
      <c r="G20" s="357"/>
      <c r="H20" s="357"/>
      <c r="I20" s="357"/>
      <c r="J20" s="366"/>
      <c r="K20" s="112" t="s">
        <v>358</v>
      </c>
      <c r="L20" s="123"/>
    </row>
    <row r="21" spans="1:12" ht="15.75" customHeight="1">
      <c r="A21" s="351" t="s">
        <v>359</v>
      </c>
      <c r="B21" s="351"/>
      <c r="C21" s="351"/>
      <c r="D21" s="351"/>
      <c r="E21" s="351"/>
      <c r="F21" s="351"/>
      <c r="G21" s="351"/>
      <c r="H21" s="351"/>
      <c r="I21" s="351"/>
      <c r="J21" s="366"/>
      <c r="K21" s="124" t="s">
        <v>360</v>
      </c>
      <c r="L21" s="125">
        <v>1.2E-2</v>
      </c>
    </row>
    <row r="22" spans="1:12" ht="15.75" customHeight="1">
      <c r="A22" s="95">
        <v>1</v>
      </c>
      <c r="B22" s="351" t="s">
        <v>361</v>
      </c>
      <c r="C22" s="351"/>
      <c r="D22" s="351"/>
      <c r="E22" s="351"/>
      <c r="F22" s="351"/>
      <c r="G22" s="351"/>
      <c r="H22" s="96" t="s">
        <v>362</v>
      </c>
      <c r="I22" s="96" t="s">
        <v>363</v>
      </c>
      <c r="J22" s="366"/>
      <c r="K22" s="126" t="s">
        <v>364</v>
      </c>
      <c r="L22" s="127">
        <v>4.8000000000000001E-2</v>
      </c>
    </row>
    <row r="23" spans="1:12" ht="15.75" customHeight="1">
      <c r="A23" s="95" t="s">
        <v>319</v>
      </c>
      <c r="B23" s="352" t="s">
        <v>365</v>
      </c>
      <c r="C23" s="352"/>
      <c r="D23" s="352"/>
      <c r="E23" s="352"/>
      <c r="F23" s="352"/>
      <c r="G23" s="352"/>
      <c r="H23" s="62"/>
      <c r="I23" s="128">
        <f>I17</f>
        <v>1553.96</v>
      </c>
      <c r="J23" s="366"/>
      <c r="K23" s="114" t="s">
        <v>366</v>
      </c>
      <c r="L23" s="118">
        <f>L17</f>
        <v>3938.9279999999999</v>
      </c>
    </row>
    <row r="24" spans="1:12" ht="15.75" customHeight="1">
      <c r="A24" s="95" t="s">
        <v>322</v>
      </c>
      <c r="B24" s="352" t="s">
        <v>367</v>
      </c>
      <c r="C24" s="352"/>
      <c r="D24" s="352"/>
      <c r="E24" s="352"/>
      <c r="F24" s="352"/>
      <c r="G24" s="352"/>
      <c r="H24" s="97"/>
      <c r="I24" s="128">
        <v>0</v>
      </c>
      <c r="J24" s="366"/>
      <c r="K24" s="121" t="s">
        <v>368</v>
      </c>
      <c r="L24" s="122">
        <f>L23*L21</f>
        <v>47.267136000000001</v>
      </c>
    </row>
    <row r="25" spans="1:12" ht="15.75" customHeight="1">
      <c r="A25" s="95" t="s">
        <v>326</v>
      </c>
      <c r="B25" s="352" t="s">
        <v>369</v>
      </c>
      <c r="C25" s="352"/>
      <c r="D25" s="352"/>
      <c r="E25" s="352"/>
      <c r="F25" s="352"/>
      <c r="G25" s="352"/>
      <c r="H25" s="97"/>
      <c r="I25" s="128">
        <v>0</v>
      </c>
      <c r="J25" s="366"/>
      <c r="K25" s="112" t="s">
        <v>370</v>
      </c>
      <c r="L25" s="113">
        <v>0.01</v>
      </c>
    </row>
    <row r="26" spans="1:12" ht="15.75" customHeight="1">
      <c r="A26" s="95" t="s">
        <v>330</v>
      </c>
      <c r="B26" s="352" t="s">
        <v>371</v>
      </c>
      <c r="C26" s="352"/>
      <c r="D26" s="352"/>
      <c r="E26" s="352"/>
      <c r="F26" s="352"/>
      <c r="G26" s="352"/>
      <c r="H26" s="97"/>
      <c r="I26" s="128">
        <v>0</v>
      </c>
      <c r="J26" s="366"/>
      <c r="K26" s="119" t="s">
        <v>351</v>
      </c>
      <c r="L26" s="120">
        <f>L17</f>
        <v>3938.9279999999999</v>
      </c>
    </row>
    <row r="27" spans="1:12" ht="15.75" customHeight="1">
      <c r="A27" s="95" t="s">
        <v>372</v>
      </c>
      <c r="B27" s="352" t="s">
        <v>373</v>
      </c>
      <c r="C27" s="352"/>
      <c r="D27" s="352"/>
      <c r="E27" s="352"/>
      <c r="F27" s="352"/>
      <c r="G27" s="352"/>
      <c r="H27" s="97"/>
      <c r="I27" s="128">
        <v>0</v>
      </c>
      <c r="J27" s="366"/>
      <c r="K27" s="121" t="s">
        <v>357</v>
      </c>
      <c r="L27" s="122">
        <f>L26*L25</f>
        <v>39.389279999999999</v>
      </c>
    </row>
    <row r="28" spans="1:12" ht="15.75" customHeight="1">
      <c r="A28" s="95" t="s">
        <v>374</v>
      </c>
      <c r="B28" s="352" t="s">
        <v>375</v>
      </c>
      <c r="C28" s="352"/>
      <c r="D28" s="352"/>
      <c r="E28" s="352"/>
      <c r="F28" s="352"/>
      <c r="G28" s="352"/>
      <c r="H28" s="97"/>
      <c r="I28" s="128">
        <v>0</v>
      </c>
      <c r="J28" s="366"/>
      <c r="K28" s="112" t="s">
        <v>376</v>
      </c>
      <c r="L28" s="113">
        <f>H117</f>
        <v>2.6599999999999999E-2</v>
      </c>
    </row>
    <row r="29" spans="1:12" ht="15.75" customHeight="1">
      <c r="A29" s="351" t="s">
        <v>377</v>
      </c>
      <c r="B29" s="351"/>
      <c r="C29" s="351"/>
      <c r="D29" s="351"/>
      <c r="E29" s="351"/>
      <c r="F29" s="351"/>
      <c r="G29" s="351"/>
      <c r="H29" s="351"/>
      <c r="I29" s="129">
        <f>SUM(I23:I28)</f>
        <v>1553.96</v>
      </c>
      <c r="J29" s="130">
        <f>SUM(I23:I28)</f>
        <v>1553.96</v>
      </c>
      <c r="K29" s="119" t="s">
        <v>351</v>
      </c>
      <c r="L29" s="120">
        <f>L17</f>
        <v>3938.9279999999999</v>
      </c>
    </row>
    <row r="30" spans="1:12" ht="15.75" customHeight="1">
      <c r="A30" s="349"/>
      <c r="B30" s="349"/>
      <c r="C30" s="349"/>
      <c r="D30" s="349"/>
      <c r="E30" s="349"/>
      <c r="F30" s="349"/>
      <c r="G30" s="349"/>
      <c r="H30" s="349"/>
      <c r="I30" s="349"/>
      <c r="J30" s="131"/>
      <c r="K30" s="121" t="s">
        <v>357</v>
      </c>
      <c r="L30" s="122">
        <f>L29*L28</f>
        <v>104.77548479999999</v>
      </c>
    </row>
    <row r="31" spans="1:12" ht="15.75" customHeight="1">
      <c r="A31" s="351" t="s">
        <v>378</v>
      </c>
      <c r="B31" s="351"/>
      <c r="C31" s="351"/>
      <c r="D31" s="351"/>
      <c r="E31" s="351"/>
      <c r="F31" s="351"/>
      <c r="G31" s="351"/>
      <c r="H31" s="351"/>
      <c r="I31" s="351"/>
      <c r="J31" s="131"/>
      <c r="K31" s="112" t="s">
        <v>379</v>
      </c>
      <c r="L31" s="113">
        <f>H116</f>
        <v>5.7999999999999996E-3</v>
      </c>
    </row>
    <row r="32" spans="1:12" ht="15.75" customHeight="1">
      <c r="A32" s="351" t="s">
        <v>380</v>
      </c>
      <c r="B32" s="351"/>
      <c r="C32" s="351"/>
      <c r="D32" s="351"/>
      <c r="E32" s="351"/>
      <c r="F32" s="351"/>
      <c r="G32" s="351"/>
      <c r="H32" s="96" t="s">
        <v>362</v>
      </c>
      <c r="I32" s="96" t="s">
        <v>363</v>
      </c>
      <c r="J32" s="132"/>
      <c r="K32" s="119" t="s">
        <v>351</v>
      </c>
      <c r="L32" s="120">
        <f>L17</f>
        <v>3938.9279999999999</v>
      </c>
    </row>
    <row r="33" spans="1:12" ht="15.75" customHeight="1">
      <c r="A33" s="95" t="s">
        <v>319</v>
      </c>
      <c r="B33" s="352" t="s">
        <v>381</v>
      </c>
      <c r="C33" s="352"/>
      <c r="D33" s="352"/>
      <c r="E33" s="352"/>
      <c r="F33" s="352"/>
      <c r="G33" s="352"/>
      <c r="H33" s="97">
        <f>ROUND(1/12,4)</f>
        <v>8.3299999999999999E-2</v>
      </c>
      <c r="I33" s="133">
        <f>ROUND(I29*H33,2)</f>
        <v>129.44</v>
      </c>
      <c r="J33" s="130">
        <f>I33+(I33*$H$48)</f>
        <v>174.48511999999999</v>
      </c>
      <c r="K33" s="121" t="s">
        <v>357</v>
      </c>
      <c r="L33" s="122">
        <f>L32*L31</f>
        <v>22.845782399999997</v>
      </c>
    </row>
    <row r="34" spans="1:12" ht="15.75" customHeight="1">
      <c r="A34" s="95" t="s">
        <v>322</v>
      </c>
      <c r="B34" s="352" t="s">
        <v>382</v>
      </c>
      <c r="C34" s="352"/>
      <c r="D34" s="352"/>
      <c r="E34" s="352"/>
      <c r="F34" s="352"/>
      <c r="G34" s="352"/>
      <c r="H34" s="97">
        <v>0.121</v>
      </c>
      <c r="I34" s="133">
        <f>ROUND(I29*H34,2)</f>
        <v>188.03</v>
      </c>
      <c r="J34" s="130">
        <f>I34+(I34*$H$48)</f>
        <v>253.46444000000002</v>
      </c>
      <c r="K34" s="112" t="s">
        <v>383</v>
      </c>
      <c r="L34" s="113">
        <f>H118</f>
        <v>0.05</v>
      </c>
    </row>
    <row r="35" spans="1:12" ht="15.75" customHeight="1">
      <c r="A35" s="351" t="s">
        <v>384</v>
      </c>
      <c r="B35" s="351"/>
      <c r="C35" s="351"/>
      <c r="D35" s="351"/>
      <c r="E35" s="351"/>
      <c r="F35" s="351"/>
      <c r="G35" s="351"/>
      <c r="H35" s="98">
        <f>SUM(H33:H34)</f>
        <v>0.20430000000000001</v>
      </c>
      <c r="I35" s="129">
        <f>SUM(I33:I34)</f>
        <v>317.47000000000003</v>
      </c>
      <c r="J35" s="134"/>
      <c r="K35" s="119" t="s">
        <v>351</v>
      </c>
      <c r="L35" s="120">
        <f>L17</f>
        <v>3938.9279999999999</v>
      </c>
    </row>
    <row r="36" spans="1:12" ht="15.75" customHeight="1">
      <c r="A36" s="369" t="s">
        <v>385</v>
      </c>
      <c r="B36" s="369"/>
      <c r="C36" s="369"/>
      <c r="D36" s="369"/>
      <c r="E36" s="369"/>
      <c r="F36" s="369"/>
      <c r="G36" s="358" t="s">
        <v>386</v>
      </c>
      <c r="H36" s="358"/>
      <c r="I36" s="135">
        <f>I29</f>
        <v>1553.96</v>
      </c>
      <c r="J36" s="136"/>
      <c r="K36" s="121" t="s">
        <v>357</v>
      </c>
      <c r="L36" s="122">
        <f>L35*L34</f>
        <v>196.94640000000001</v>
      </c>
    </row>
    <row r="37" spans="1:12" ht="15.75" customHeight="1">
      <c r="A37" s="369"/>
      <c r="B37" s="369"/>
      <c r="C37" s="369"/>
      <c r="D37" s="369"/>
      <c r="E37" s="369"/>
      <c r="F37" s="369"/>
      <c r="G37" s="358" t="s">
        <v>387</v>
      </c>
      <c r="H37" s="358"/>
      <c r="I37" s="135">
        <f>I35</f>
        <v>317.47000000000003</v>
      </c>
      <c r="J37" s="137"/>
      <c r="K37" s="138" t="s">
        <v>388</v>
      </c>
      <c r="L37" s="139">
        <f>L19+L24+L27+L30+L33+L36</f>
        <v>772.78836319999994</v>
      </c>
    </row>
    <row r="38" spans="1:12" ht="15.75" customHeight="1">
      <c r="A38" s="369"/>
      <c r="B38" s="369"/>
      <c r="C38" s="369"/>
      <c r="D38" s="369"/>
      <c r="E38" s="369"/>
      <c r="F38" s="369"/>
      <c r="G38" s="359" t="s">
        <v>389</v>
      </c>
      <c r="H38" s="359"/>
      <c r="I38" s="140">
        <f>SUM(I36:I37)</f>
        <v>1871.43</v>
      </c>
      <c r="J38" s="136"/>
      <c r="K38" s="141"/>
      <c r="L38" s="141"/>
    </row>
    <row r="39" spans="1:12" ht="15.75" customHeight="1">
      <c r="A39" s="351" t="s">
        <v>390</v>
      </c>
      <c r="B39" s="351"/>
      <c r="C39" s="351"/>
      <c r="D39" s="351"/>
      <c r="E39" s="351"/>
      <c r="F39" s="351"/>
      <c r="G39" s="351"/>
      <c r="H39" s="96" t="s">
        <v>362</v>
      </c>
      <c r="I39" s="96" t="s">
        <v>363</v>
      </c>
      <c r="J39" s="136"/>
      <c r="K39" s="142" t="s">
        <v>391</v>
      </c>
      <c r="L39" s="143"/>
    </row>
    <row r="40" spans="1:12" ht="15.75" customHeight="1">
      <c r="A40" s="95" t="s">
        <v>319</v>
      </c>
      <c r="B40" s="352" t="s">
        <v>392</v>
      </c>
      <c r="C40" s="352"/>
      <c r="D40" s="352"/>
      <c r="E40" s="352"/>
      <c r="F40" s="352"/>
      <c r="G40" s="352"/>
      <c r="H40" s="97">
        <v>0.2</v>
      </c>
      <c r="I40" s="133">
        <f t="shared" ref="I40:I47" si="0">ROUND($I$38*H40,2)</f>
        <v>374.29</v>
      </c>
      <c r="J40" s="144" t="s">
        <v>393</v>
      </c>
      <c r="K40" s="145" t="s">
        <v>394</v>
      </c>
      <c r="L40" s="146"/>
    </row>
    <row r="41" spans="1:12" ht="15.75" customHeight="1">
      <c r="A41" s="95" t="s">
        <v>322</v>
      </c>
      <c r="B41" s="352" t="s">
        <v>395</v>
      </c>
      <c r="C41" s="352"/>
      <c r="D41" s="352"/>
      <c r="E41" s="352"/>
      <c r="F41" s="352"/>
      <c r="G41" s="352"/>
      <c r="H41" s="97">
        <v>2.5000000000000001E-2</v>
      </c>
      <c r="I41" s="133">
        <f t="shared" si="0"/>
        <v>46.79</v>
      </c>
      <c r="J41" s="130">
        <f t="shared" ref="J41:J47" si="1">$I$29*H41</f>
        <v>38.848999999999997</v>
      </c>
      <c r="K41" s="147" t="s">
        <v>394</v>
      </c>
      <c r="L41" s="148">
        <f>L8+L37</f>
        <v>3624.0624032000001</v>
      </c>
    </row>
    <row r="42" spans="1:12" ht="15.75" customHeight="1">
      <c r="A42" s="95" t="s">
        <v>326</v>
      </c>
      <c r="B42" s="352" t="s">
        <v>396</v>
      </c>
      <c r="C42" s="352"/>
      <c r="D42" s="352"/>
      <c r="E42" s="352"/>
      <c r="F42" s="352"/>
      <c r="G42" s="352"/>
      <c r="H42" s="402">
        <v>0.01</v>
      </c>
      <c r="I42" s="133">
        <f t="shared" si="0"/>
        <v>18.71</v>
      </c>
      <c r="J42" s="144" t="s">
        <v>393</v>
      </c>
      <c r="K42" s="109"/>
      <c r="L42" s="149"/>
    </row>
    <row r="43" spans="1:12" ht="15.75" customHeight="1">
      <c r="A43" s="95" t="s">
        <v>330</v>
      </c>
      <c r="B43" s="352" t="s">
        <v>397</v>
      </c>
      <c r="C43" s="352"/>
      <c r="D43" s="352"/>
      <c r="E43" s="352"/>
      <c r="F43" s="352"/>
      <c r="G43" s="352"/>
      <c r="H43" s="97">
        <v>1.4999999999999999E-2</v>
      </c>
      <c r="I43" s="133">
        <f t="shared" si="0"/>
        <v>28.07</v>
      </c>
      <c r="J43" s="130">
        <f t="shared" si="1"/>
        <v>23.3094</v>
      </c>
      <c r="K43" s="109"/>
      <c r="L43" s="149"/>
    </row>
    <row r="44" spans="1:12" ht="15.75" customHeight="1">
      <c r="A44" s="95" t="s">
        <v>372</v>
      </c>
      <c r="B44" s="352" t="s">
        <v>398</v>
      </c>
      <c r="C44" s="352"/>
      <c r="D44" s="352"/>
      <c r="E44" s="352"/>
      <c r="F44" s="352"/>
      <c r="G44" s="352"/>
      <c r="H44" s="97">
        <v>0.01</v>
      </c>
      <c r="I44" s="133">
        <f t="shared" si="0"/>
        <v>18.71</v>
      </c>
      <c r="J44" s="130">
        <f t="shared" si="1"/>
        <v>15.5396</v>
      </c>
      <c r="K44" s="109"/>
      <c r="L44" s="149"/>
    </row>
    <row r="45" spans="1:12" ht="15.75" customHeight="1">
      <c r="A45" s="95" t="s">
        <v>374</v>
      </c>
      <c r="B45" s="352" t="s">
        <v>399</v>
      </c>
      <c r="C45" s="352"/>
      <c r="D45" s="352"/>
      <c r="E45" s="352"/>
      <c r="F45" s="352"/>
      <c r="G45" s="352"/>
      <c r="H45" s="97">
        <v>6.0000000000000001E-3</v>
      </c>
      <c r="I45" s="133">
        <f t="shared" si="0"/>
        <v>11.23</v>
      </c>
      <c r="J45" s="130">
        <f t="shared" si="1"/>
        <v>9.32376</v>
      </c>
      <c r="K45" s="109"/>
      <c r="L45" s="149"/>
    </row>
    <row r="46" spans="1:12" ht="15.75" customHeight="1">
      <c r="A46" s="95" t="s">
        <v>400</v>
      </c>
      <c r="B46" s="352" t="s">
        <v>401</v>
      </c>
      <c r="C46" s="352"/>
      <c r="D46" s="352"/>
      <c r="E46" s="352"/>
      <c r="F46" s="352"/>
      <c r="G46" s="352"/>
      <c r="H46" s="97">
        <v>2E-3</v>
      </c>
      <c r="I46" s="133">
        <f t="shared" si="0"/>
        <v>3.74</v>
      </c>
      <c r="J46" s="130">
        <f t="shared" si="1"/>
        <v>3.10792</v>
      </c>
      <c r="K46" s="109"/>
      <c r="L46" s="149"/>
    </row>
    <row r="47" spans="1:12" ht="15.75" customHeight="1">
      <c r="A47" s="95" t="s">
        <v>402</v>
      </c>
      <c r="B47" s="352" t="s">
        <v>403</v>
      </c>
      <c r="C47" s="352"/>
      <c r="D47" s="352"/>
      <c r="E47" s="352"/>
      <c r="F47" s="352"/>
      <c r="G47" s="352"/>
      <c r="H47" s="97">
        <v>0.08</v>
      </c>
      <c r="I47" s="133">
        <f t="shared" si="0"/>
        <v>149.71</v>
      </c>
      <c r="J47" s="130">
        <f t="shared" si="1"/>
        <v>124.3168</v>
      </c>
      <c r="K47" s="360" t="s">
        <v>404</v>
      </c>
      <c r="L47" s="360"/>
    </row>
    <row r="48" spans="1:12" ht="15.75" customHeight="1">
      <c r="A48" s="351" t="s">
        <v>405</v>
      </c>
      <c r="B48" s="351"/>
      <c r="C48" s="351"/>
      <c r="D48" s="351"/>
      <c r="E48" s="351"/>
      <c r="F48" s="351"/>
      <c r="G48" s="351"/>
      <c r="H48" s="98">
        <f>SUM(H40:H47)</f>
        <v>0.34800000000000003</v>
      </c>
      <c r="I48" s="129">
        <f>SUM(I40:I47)</f>
        <v>651.25</v>
      </c>
      <c r="J48" s="137"/>
      <c r="K48" s="361" t="s">
        <v>406</v>
      </c>
      <c r="L48" s="361"/>
    </row>
    <row r="49" spans="1:12" ht="15.75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137"/>
      <c r="K49" s="150" t="s">
        <v>407</v>
      </c>
      <c r="L49" s="151">
        <v>1</v>
      </c>
    </row>
    <row r="50" spans="1:12" ht="15.75" customHeight="1">
      <c r="A50" s="351" t="s">
        <v>408</v>
      </c>
      <c r="B50" s="351"/>
      <c r="C50" s="351"/>
      <c r="D50" s="351"/>
      <c r="E50" s="351"/>
      <c r="F50" s="351"/>
      <c r="G50" s="351"/>
      <c r="H50" s="98"/>
      <c r="I50" s="96" t="s">
        <v>363</v>
      </c>
      <c r="J50" s="137"/>
      <c r="K50" s="367" t="s">
        <v>409</v>
      </c>
      <c r="L50" s="368">
        <f>L41</f>
        <v>3624.0624032000001</v>
      </c>
    </row>
    <row r="51" spans="1:12" ht="15.75" customHeight="1">
      <c r="A51" s="95" t="s">
        <v>319</v>
      </c>
      <c r="B51" s="357" t="s">
        <v>410</v>
      </c>
      <c r="C51" s="357"/>
      <c r="D51" s="357"/>
      <c r="E51" s="357"/>
      <c r="F51" s="357"/>
      <c r="G51" s="357"/>
      <c r="H51" s="99" t="s">
        <v>303</v>
      </c>
      <c r="I51" s="128">
        <v>0</v>
      </c>
      <c r="J51" s="130">
        <f t="shared" ref="J51:J54" si="2">I51</f>
        <v>0</v>
      </c>
      <c r="K51" s="367"/>
      <c r="L51" s="368"/>
    </row>
    <row r="52" spans="1:12" ht="15.75" customHeight="1">
      <c r="A52" s="95" t="s">
        <v>322</v>
      </c>
      <c r="B52" s="357" t="s">
        <v>411</v>
      </c>
      <c r="C52" s="357"/>
      <c r="D52" s="357"/>
      <c r="E52" s="357"/>
      <c r="F52" s="357"/>
      <c r="G52" s="357"/>
      <c r="H52" s="63" t="s">
        <v>303</v>
      </c>
      <c r="I52" s="128">
        <v>473.82</v>
      </c>
      <c r="J52" s="130">
        <f t="shared" si="2"/>
        <v>473.82</v>
      </c>
      <c r="K52" s="367"/>
      <c r="L52" s="368"/>
    </row>
    <row r="53" spans="1:12" ht="15.75" customHeight="1">
      <c r="A53" s="95" t="s">
        <v>326</v>
      </c>
      <c r="B53" s="357" t="s">
        <v>412</v>
      </c>
      <c r="C53" s="357"/>
      <c r="D53" s="357"/>
      <c r="E53" s="357"/>
      <c r="F53" s="357"/>
      <c r="G53" s="357"/>
      <c r="H53" s="63" t="s">
        <v>303</v>
      </c>
      <c r="I53" s="128">
        <f>(52.15+78.22)*0.4</f>
        <v>52.148000000000003</v>
      </c>
      <c r="J53" s="130">
        <f t="shared" si="2"/>
        <v>52.148000000000003</v>
      </c>
      <c r="K53" s="153" t="s">
        <v>413</v>
      </c>
      <c r="L53" s="152">
        <f>I139</f>
        <v>3938.9279999999999</v>
      </c>
    </row>
    <row r="54" spans="1:12" ht="15.75" customHeight="1">
      <c r="A54" s="95" t="s">
        <v>330</v>
      </c>
      <c r="B54" s="357" t="s">
        <v>414</v>
      </c>
      <c r="C54" s="357"/>
      <c r="D54" s="357"/>
      <c r="E54" s="357"/>
      <c r="F54" s="357"/>
      <c r="G54" s="357"/>
      <c r="H54" s="63" t="s">
        <v>303</v>
      </c>
      <c r="I54" s="128">
        <f>ROUND((I23*26)*0.002/12,2)</f>
        <v>6.73</v>
      </c>
      <c r="J54" s="130">
        <f t="shared" si="2"/>
        <v>6.73</v>
      </c>
      <c r="K54" s="154" t="s">
        <v>415</v>
      </c>
      <c r="L54" s="155">
        <f>L41</f>
        <v>3624.0624032000001</v>
      </c>
    </row>
    <row r="55" spans="1:12" ht="15.75" customHeight="1">
      <c r="A55" s="351" t="s">
        <v>416</v>
      </c>
      <c r="B55" s="351"/>
      <c r="C55" s="351"/>
      <c r="D55" s="351"/>
      <c r="E55" s="351"/>
      <c r="F55" s="351"/>
      <c r="G55" s="351"/>
      <c r="H55" s="351"/>
      <c r="I55" s="129">
        <f>SUM(I51:I54)</f>
        <v>532.69799999999998</v>
      </c>
      <c r="J55" s="134"/>
      <c r="K55" s="156" t="s">
        <v>417</v>
      </c>
      <c r="L55" s="157">
        <f>L53-L54</f>
        <v>314.86559679999982</v>
      </c>
    </row>
    <row r="56" spans="1:12" ht="15.75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134"/>
      <c r="K56" s="158" t="s">
        <v>418</v>
      </c>
      <c r="L56" s="159">
        <f>SUM(I68:I71,I96,I104,I113)</f>
        <v>383.34000000000003</v>
      </c>
    </row>
    <row r="57" spans="1:12" ht="15.75" customHeight="1">
      <c r="A57" s="351" t="s">
        <v>419</v>
      </c>
      <c r="B57" s="351"/>
      <c r="C57" s="351"/>
      <c r="D57" s="351"/>
      <c r="E57" s="351"/>
      <c r="F57" s="351"/>
      <c r="G57" s="351"/>
      <c r="H57" s="351"/>
      <c r="I57" s="351"/>
      <c r="J57" s="134"/>
      <c r="K57" s="158" t="s">
        <v>420</v>
      </c>
      <c r="L57" s="160">
        <f>L55-L56</f>
        <v>-68.474403200000211</v>
      </c>
    </row>
    <row r="58" spans="1:12" ht="15.75" customHeight="1">
      <c r="A58" s="351" t="s">
        <v>421</v>
      </c>
      <c r="B58" s="351"/>
      <c r="C58" s="351"/>
      <c r="D58" s="351"/>
      <c r="E58" s="351"/>
      <c r="F58" s="351"/>
      <c r="G58" s="351"/>
      <c r="H58" s="351"/>
      <c r="I58" s="96" t="s">
        <v>363</v>
      </c>
      <c r="J58" s="134"/>
      <c r="K58" s="161" t="s">
        <v>422</v>
      </c>
      <c r="L58" s="162">
        <f>ROUND(L57*L49,2)</f>
        <v>-68.47</v>
      </c>
    </row>
    <row r="59" spans="1:12" ht="15.75" customHeight="1">
      <c r="A59" s="95" t="s">
        <v>215</v>
      </c>
      <c r="B59" s="352" t="s">
        <v>423</v>
      </c>
      <c r="C59" s="352"/>
      <c r="D59" s="352"/>
      <c r="E59" s="352"/>
      <c r="F59" s="352"/>
      <c r="G59" s="352"/>
      <c r="H59" s="352"/>
      <c r="I59" s="133">
        <f>I35</f>
        <v>317.47000000000003</v>
      </c>
      <c r="J59" s="134"/>
      <c r="K59" s="161" t="s">
        <v>424</v>
      </c>
      <c r="L59" s="162">
        <f>ROUND((L57*12)*L49,2)</f>
        <v>-821.69</v>
      </c>
    </row>
    <row r="60" spans="1:12" ht="15.75" customHeight="1">
      <c r="A60" s="95" t="s">
        <v>245</v>
      </c>
      <c r="B60" s="352" t="s">
        <v>425</v>
      </c>
      <c r="C60" s="352"/>
      <c r="D60" s="352"/>
      <c r="E60" s="352"/>
      <c r="F60" s="352"/>
      <c r="G60" s="352"/>
      <c r="H60" s="352"/>
      <c r="I60" s="133">
        <f>I48</f>
        <v>651.25</v>
      </c>
      <c r="J60" s="134"/>
      <c r="K60" s="372" t="s">
        <v>426</v>
      </c>
      <c r="L60" s="372"/>
    </row>
    <row r="61" spans="1:12" ht="15.75" customHeight="1">
      <c r="A61" s="95" t="s">
        <v>257</v>
      </c>
      <c r="B61" s="352" t="s">
        <v>427</v>
      </c>
      <c r="C61" s="352"/>
      <c r="D61" s="352"/>
      <c r="E61" s="352"/>
      <c r="F61" s="352"/>
      <c r="G61" s="352"/>
      <c r="H61" s="352"/>
      <c r="I61" s="133">
        <f>I55</f>
        <v>532.69799999999998</v>
      </c>
      <c r="J61" s="134"/>
      <c r="K61" s="372"/>
      <c r="L61" s="372"/>
    </row>
    <row r="62" spans="1:12" ht="15.75" customHeight="1">
      <c r="A62" s="351" t="s">
        <v>428</v>
      </c>
      <c r="B62" s="351"/>
      <c r="C62" s="351"/>
      <c r="D62" s="351"/>
      <c r="E62" s="351"/>
      <c r="F62" s="351"/>
      <c r="G62" s="351"/>
      <c r="H62" s="351"/>
      <c r="I62" s="129">
        <f>SUM(I59:I61)</f>
        <v>1501.4180000000001</v>
      </c>
      <c r="J62" s="134"/>
      <c r="K62" s="372"/>
      <c r="L62" s="372"/>
    </row>
    <row r="63" spans="1:12" ht="15.75" customHeight="1">
      <c r="A63" s="370" t="s">
        <v>429</v>
      </c>
      <c r="B63" s="370"/>
      <c r="C63" s="370"/>
      <c r="D63" s="370"/>
      <c r="E63" s="370"/>
      <c r="F63" s="370"/>
      <c r="G63" s="358" t="s">
        <v>386</v>
      </c>
      <c r="H63" s="358"/>
      <c r="I63" s="135">
        <f>I29</f>
        <v>1553.96</v>
      </c>
      <c r="J63" s="134"/>
      <c r="K63" s="372"/>
      <c r="L63" s="372"/>
    </row>
    <row r="64" spans="1:12" ht="15.75" customHeight="1">
      <c r="A64" s="370"/>
      <c r="B64" s="370"/>
      <c r="C64" s="370"/>
      <c r="D64" s="370"/>
      <c r="E64" s="370"/>
      <c r="F64" s="370"/>
      <c r="G64" s="358" t="s">
        <v>430</v>
      </c>
      <c r="H64" s="358"/>
      <c r="I64" s="135">
        <f>I62</f>
        <v>1501.4180000000001</v>
      </c>
      <c r="J64" s="134"/>
      <c r="K64" s="372"/>
      <c r="L64" s="372"/>
    </row>
    <row r="65" spans="1:12" ht="15.75" customHeight="1">
      <c r="A65" s="370"/>
      <c r="B65" s="370"/>
      <c r="C65" s="370"/>
      <c r="D65" s="370"/>
      <c r="E65" s="370"/>
      <c r="F65" s="370"/>
      <c r="G65" s="359" t="s">
        <v>389</v>
      </c>
      <c r="H65" s="359"/>
      <c r="I65" s="140">
        <f>SUM(I63:I64)</f>
        <v>3055.3780000000002</v>
      </c>
      <c r="J65" s="134"/>
      <c r="K65" s="372"/>
      <c r="L65" s="372"/>
    </row>
    <row r="66" spans="1:12" ht="27.75" customHeight="1">
      <c r="A66" s="351" t="s">
        <v>431</v>
      </c>
      <c r="B66" s="351"/>
      <c r="C66" s="351"/>
      <c r="D66" s="351"/>
      <c r="E66" s="351"/>
      <c r="F66" s="351"/>
      <c r="G66" s="351"/>
      <c r="H66" s="351"/>
      <c r="I66" s="351"/>
      <c r="J66" s="134"/>
      <c r="K66" s="372"/>
      <c r="L66" s="372"/>
    </row>
    <row r="67" spans="1:12" ht="15.75" customHeight="1">
      <c r="A67" s="95">
        <v>3</v>
      </c>
      <c r="B67" s="351" t="s">
        <v>432</v>
      </c>
      <c r="C67" s="351"/>
      <c r="D67" s="351"/>
      <c r="E67" s="351"/>
      <c r="F67" s="351"/>
      <c r="G67" s="351"/>
      <c r="H67" s="96" t="s">
        <v>362</v>
      </c>
      <c r="I67" s="96" t="s">
        <v>363</v>
      </c>
      <c r="J67" s="134"/>
      <c r="K67" s="372"/>
      <c r="L67" s="372"/>
    </row>
    <row r="68" spans="1:12" ht="15.75" customHeight="1">
      <c r="A68" s="95" t="s">
        <v>319</v>
      </c>
      <c r="B68" s="352" t="s">
        <v>433</v>
      </c>
      <c r="C68" s="352"/>
      <c r="D68" s="352"/>
      <c r="E68" s="352"/>
      <c r="F68" s="352"/>
      <c r="G68" s="352"/>
      <c r="H68" s="97">
        <f>ROUND(((1/12)*5%),4)</f>
        <v>4.1999999999999997E-3</v>
      </c>
      <c r="I68" s="133">
        <f>ROUND(H68*$I$65,2)</f>
        <v>12.83</v>
      </c>
      <c r="J68" s="134"/>
      <c r="K68" s="372"/>
      <c r="L68" s="372"/>
    </row>
    <row r="69" spans="1:12" ht="15.75" customHeight="1">
      <c r="A69" s="95" t="s">
        <v>322</v>
      </c>
      <c r="B69" s="352" t="s">
        <v>434</v>
      </c>
      <c r="C69" s="352"/>
      <c r="D69" s="352"/>
      <c r="E69" s="352"/>
      <c r="F69" s="352"/>
      <c r="G69" s="352"/>
      <c r="H69" s="97">
        <f>TRUNC(H68*H47,4)</f>
        <v>2.9999999999999997E-4</v>
      </c>
      <c r="I69" s="133">
        <f>ROUND(H69*$I$65,2)</f>
        <v>0.92</v>
      </c>
      <c r="J69" s="134"/>
      <c r="K69" s="372"/>
      <c r="L69" s="372"/>
    </row>
    <row r="70" spans="1:12" ht="15.75" customHeight="1">
      <c r="A70" s="95" t="s">
        <v>326</v>
      </c>
      <c r="B70" s="352" t="s">
        <v>435</v>
      </c>
      <c r="C70" s="352"/>
      <c r="D70" s="352"/>
      <c r="E70" s="352"/>
      <c r="F70" s="352"/>
      <c r="G70" s="352"/>
      <c r="H70" s="97">
        <f>ROUND(((7/30)/12)*95%,4)</f>
        <v>1.8499999999999999E-2</v>
      </c>
      <c r="I70" s="133">
        <f>ROUND(H70*$I$65,2)</f>
        <v>56.52</v>
      </c>
      <c r="J70" s="134"/>
      <c r="K70" s="109"/>
      <c r="L70" s="109"/>
    </row>
    <row r="71" spans="1:12" ht="15.75" customHeight="1">
      <c r="A71" s="95" t="s">
        <v>330</v>
      </c>
      <c r="B71" s="363" t="s">
        <v>436</v>
      </c>
      <c r="C71" s="363"/>
      <c r="D71" s="363"/>
      <c r="E71" s="363"/>
      <c r="F71" s="363"/>
      <c r="G71" s="363"/>
      <c r="H71" s="97">
        <f>ROUND(H70*H48,4)</f>
        <v>6.4000000000000003E-3</v>
      </c>
      <c r="I71" s="133">
        <f>ROUND(H71*$I$65,2)</f>
        <v>19.55</v>
      </c>
      <c r="J71" s="134"/>
      <c r="K71" s="109"/>
      <c r="L71" s="109"/>
    </row>
    <row r="72" spans="1:12" ht="15.75" customHeight="1">
      <c r="A72" s="95" t="s">
        <v>372</v>
      </c>
      <c r="B72" s="352" t="s">
        <v>437</v>
      </c>
      <c r="C72" s="352"/>
      <c r="D72" s="352"/>
      <c r="E72" s="352"/>
      <c r="F72" s="352"/>
      <c r="G72" s="352"/>
      <c r="H72" s="97">
        <v>0.04</v>
      </c>
      <c r="I72" s="133">
        <f>ROUND(H72*$I$65,2)</f>
        <v>122.22</v>
      </c>
      <c r="J72" s="130">
        <f>I72</f>
        <v>122.22</v>
      </c>
      <c r="K72" s="109"/>
      <c r="L72" s="109"/>
    </row>
    <row r="73" spans="1:12" ht="15.75" customHeight="1">
      <c r="A73" s="351" t="s">
        <v>438</v>
      </c>
      <c r="B73" s="351"/>
      <c r="C73" s="351"/>
      <c r="D73" s="351"/>
      <c r="E73" s="351"/>
      <c r="F73" s="351"/>
      <c r="G73" s="351"/>
      <c r="H73" s="98">
        <f>SUM(H68:H72)</f>
        <v>6.9400000000000003E-2</v>
      </c>
      <c r="I73" s="129">
        <f>SUM(I68:I72)</f>
        <v>212.04000000000002</v>
      </c>
      <c r="J73" s="134"/>
      <c r="K73" s="179"/>
      <c r="L73" s="109"/>
    </row>
    <row r="74" spans="1:12" ht="15.75" customHeight="1">
      <c r="A74" s="371" t="s">
        <v>439</v>
      </c>
      <c r="B74" s="371"/>
      <c r="C74" s="371"/>
      <c r="D74" s="371"/>
      <c r="E74" s="371"/>
      <c r="F74" s="371"/>
      <c r="G74" s="358" t="s">
        <v>386</v>
      </c>
      <c r="H74" s="358"/>
      <c r="I74" s="135">
        <f>I29</f>
        <v>1553.96</v>
      </c>
      <c r="J74" s="134"/>
      <c r="K74" s="179"/>
      <c r="L74" s="109"/>
    </row>
    <row r="75" spans="1:12" ht="15.75" customHeight="1">
      <c r="A75" s="371"/>
      <c r="B75" s="371"/>
      <c r="C75" s="371"/>
      <c r="D75" s="371"/>
      <c r="E75" s="371"/>
      <c r="F75" s="371"/>
      <c r="G75" s="358" t="s">
        <v>430</v>
      </c>
      <c r="H75" s="358"/>
      <c r="I75" s="135">
        <f>I62</f>
        <v>1501.4180000000001</v>
      </c>
      <c r="J75" s="134"/>
      <c r="K75" s="179"/>
      <c r="L75" s="109"/>
    </row>
    <row r="76" spans="1:12" ht="15.75" customHeight="1">
      <c r="A76" s="371"/>
      <c r="B76" s="371"/>
      <c r="C76" s="371"/>
      <c r="D76" s="371"/>
      <c r="E76" s="371"/>
      <c r="F76" s="371"/>
      <c r="G76" s="358" t="s">
        <v>440</v>
      </c>
      <c r="H76" s="358"/>
      <c r="I76" s="135">
        <f>I73</f>
        <v>212.04000000000002</v>
      </c>
      <c r="J76" s="134"/>
      <c r="K76" s="179"/>
      <c r="L76" s="109"/>
    </row>
    <row r="77" spans="1:12" ht="15.75" customHeight="1">
      <c r="A77" s="371"/>
      <c r="B77" s="371"/>
      <c r="C77" s="371"/>
      <c r="D77" s="371"/>
      <c r="E77" s="371"/>
      <c r="F77" s="371"/>
      <c r="G77" s="359" t="s">
        <v>389</v>
      </c>
      <c r="H77" s="359"/>
      <c r="I77" s="140">
        <f>SUM(I74:I76)</f>
        <v>3267.4180000000001</v>
      </c>
      <c r="J77" s="134"/>
      <c r="K77" s="179"/>
      <c r="L77" s="109"/>
    </row>
    <row r="78" spans="1:12" ht="15.75" customHeight="1">
      <c r="A78" s="351" t="s">
        <v>441</v>
      </c>
      <c r="B78" s="351"/>
      <c r="C78" s="351"/>
      <c r="D78" s="351"/>
      <c r="E78" s="351"/>
      <c r="F78" s="351"/>
      <c r="G78" s="351"/>
      <c r="H78" s="351"/>
      <c r="I78" s="351"/>
      <c r="J78" s="131"/>
      <c r="K78" s="179"/>
      <c r="L78" s="109"/>
    </row>
    <row r="79" spans="1:12" ht="15.75" customHeight="1">
      <c r="A79" s="351" t="s">
        <v>442</v>
      </c>
      <c r="B79" s="351"/>
      <c r="C79" s="351"/>
      <c r="D79" s="351"/>
      <c r="E79" s="351"/>
      <c r="F79" s="351"/>
      <c r="G79" s="351"/>
      <c r="H79" s="96" t="s">
        <v>362</v>
      </c>
      <c r="I79" s="96" t="s">
        <v>363</v>
      </c>
      <c r="J79" s="134"/>
      <c r="K79" s="179"/>
      <c r="L79" s="180"/>
    </row>
    <row r="80" spans="1:12" ht="15.75" customHeight="1">
      <c r="A80" s="95" t="s">
        <v>319</v>
      </c>
      <c r="B80" s="352" t="s">
        <v>443</v>
      </c>
      <c r="C80" s="352"/>
      <c r="D80" s="352"/>
      <c r="E80" s="352"/>
      <c r="F80" s="352"/>
      <c r="G80" s="352"/>
      <c r="H80" s="97">
        <f>ROUND(((1+1/3)/12)/12,4)</f>
        <v>9.2999999999999992E-3</v>
      </c>
      <c r="I80" s="133">
        <f t="shared" ref="I80:I85" si="3">ROUND(H80*$I$77,2)</f>
        <v>30.39</v>
      </c>
      <c r="J80" s="134"/>
      <c r="K80" s="179"/>
      <c r="L80" s="109"/>
    </row>
    <row r="81" spans="1:12" ht="15.75" customHeight="1">
      <c r="A81" s="95" t="s">
        <v>322</v>
      </c>
      <c r="B81" s="352" t="s">
        <v>444</v>
      </c>
      <c r="C81" s="352"/>
      <c r="D81" s="352"/>
      <c r="E81" s="352"/>
      <c r="F81" s="352"/>
      <c r="G81" s="352"/>
      <c r="H81" s="97">
        <f>ROUND(2/30/12,4)</f>
        <v>5.5999999999999999E-3</v>
      </c>
      <c r="I81" s="133">
        <f t="shared" si="3"/>
        <v>18.3</v>
      </c>
      <c r="J81" s="134"/>
      <c r="K81" s="109"/>
      <c r="L81" s="109"/>
    </row>
    <row r="82" spans="1:12" ht="15.75" customHeight="1">
      <c r="A82" s="95" t="s">
        <v>326</v>
      </c>
      <c r="B82" s="352" t="s">
        <v>445</v>
      </c>
      <c r="C82" s="352"/>
      <c r="D82" s="352"/>
      <c r="E82" s="352"/>
      <c r="F82" s="352"/>
      <c r="G82" s="352"/>
      <c r="H82" s="97">
        <f>ROUND(((5/30)/12)*2%,4)</f>
        <v>2.9999999999999997E-4</v>
      </c>
      <c r="I82" s="133">
        <f t="shared" si="3"/>
        <v>0.98</v>
      </c>
      <c r="J82" s="134"/>
      <c r="K82" s="109"/>
      <c r="L82" s="109"/>
    </row>
    <row r="83" spans="1:12" ht="15.75" customHeight="1">
      <c r="A83" s="95" t="s">
        <v>330</v>
      </c>
      <c r="B83" s="352" t="s">
        <v>446</v>
      </c>
      <c r="C83" s="352"/>
      <c r="D83" s="352"/>
      <c r="E83" s="352"/>
      <c r="F83" s="352"/>
      <c r="G83" s="352"/>
      <c r="H83" s="97">
        <f>ROUND(((15/30)/12)*8%,4)</f>
        <v>3.3E-3</v>
      </c>
      <c r="I83" s="133">
        <f t="shared" si="3"/>
        <v>10.78</v>
      </c>
      <c r="J83" s="134"/>
      <c r="K83" s="109"/>
      <c r="L83" s="109"/>
    </row>
    <row r="84" spans="1:12" ht="15.75" customHeight="1">
      <c r="A84" s="95" t="s">
        <v>372</v>
      </c>
      <c r="B84" s="352" t="s">
        <v>447</v>
      </c>
      <c r="C84" s="352"/>
      <c r="D84" s="352"/>
      <c r="E84" s="352"/>
      <c r="F84" s="352"/>
      <c r="G84" s="352"/>
      <c r="H84" s="97">
        <f>ROUND(((1+1/3)/12*4/12)*2%,4)</f>
        <v>6.9999999999999999E-4</v>
      </c>
      <c r="I84" s="133">
        <f t="shared" si="3"/>
        <v>2.29</v>
      </c>
      <c r="J84" s="134"/>
      <c r="K84" s="109"/>
      <c r="L84" s="109"/>
    </row>
    <row r="85" spans="1:12" ht="15.75" customHeight="1">
      <c r="A85" s="95" t="s">
        <v>374</v>
      </c>
      <c r="B85" s="352" t="s">
        <v>448</v>
      </c>
      <c r="C85" s="352"/>
      <c r="D85" s="352"/>
      <c r="E85" s="352"/>
      <c r="F85" s="352"/>
      <c r="G85" s="352"/>
      <c r="H85" s="97">
        <v>0</v>
      </c>
      <c r="I85" s="133">
        <f t="shared" si="3"/>
        <v>0</v>
      </c>
      <c r="J85" s="134"/>
      <c r="K85" s="109"/>
      <c r="L85" s="109"/>
    </row>
    <row r="86" spans="1:12" ht="15.75" customHeight="1">
      <c r="A86" s="351" t="s">
        <v>449</v>
      </c>
      <c r="B86" s="351"/>
      <c r="C86" s="351"/>
      <c r="D86" s="351"/>
      <c r="E86" s="351"/>
      <c r="F86" s="351"/>
      <c r="G86" s="351"/>
      <c r="H86" s="98">
        <f>SUM(H80:H85)</f>
        <v>1.9199999999999998E-2</v>
      </c>
      <c r="I86" s="129">
        <f>SUM(I80:I85)</f>
        <v>62.739999999999995</v>
      </c>
      <c r="J86" s="134"/>
      <c r="K86" s="109"/>
      <c r="L86" s="181"/>
    </row>
    <row r="87" spans="1:12" ht="15.75" customHeight="1">
      <c r="A87" s="362"/>
      <c r="B87" s="362"/>
      <c r="C87" s="362"/>
      <c r="D87" s="362"/>
      <c r="E87" s="362"/>
      <c r="F87" s="362"/>
      <c r="G87" s="362"/>
      <c r="H87" s="362"/>
      <c r="I87" s="362"/>
      <c r="J87" s="134"/>
      <c r="K87" s="182"/>
      <c r="L87" s="109"/>
    </row>
    <row r="88" spans="1:12" ht="15.75" customHeight="1">
      <c r="A88" s="351" t="s">
        <v>450</v>
      </c>
      <c r="B88" s="351"/>
      <c r="C88" s="351"/>
      <c r="D88" s="351"/>
      <c r="E88" s="351"/>
      <c r="F88" s="351"/>
      <c r="G88" s="351"/>
      <c r="H88" s="96" t="s">
        <v>362</v>
      </c>
      <c r="I88" s="96" t="s">
        <v>363</v>
      </c>
      <c r="J88" s="134"/>
      <c r="K88" s="109"/>
      <c r="L88" s="109"/>
    </row>
    <row r="89" spans="1:12" ht="15.75" customHeight="1">
      <c r="A89" s="95" t="s">
        <v>319</v>
      </c>
      <c r="B89" s="352" t="s">
        <v>451</v>
      </c>
      <c r="C89" s="352"/>
      <c r="D89" s="352"/>
      <c r="E89" s="352"/>
      <c r="F89" s="352"/>
      <c r="G89" s="352"/>
      <c r="H89" s="97">
        <v>0</v>
      </c>
      <c r="I89" s="133">
        <f>I29*H89</f>
        <v>0</v>
      </c>
      <c r="J89" s="134"/>
      <c r="K89" s="109"/>
      <c r="L89" s="109"/>
    </row>
    <row r="90" spans="1:12" ht="15.75" customHeight="1">
      <c r="A90" s="351" t="s">
        <v>452</v>
      </c>
      <c r="B90" s="351"/>
      <c r="C90" s="351"/>
      <c r="D90" s="351"/>
      <c r="E90" s="351"/>
      <c r="F90" s="351"/>
      <c r="G90" s="351"/>
      <c r="H90" s="98">
        <f>H89</f>
        <v>0</v>
      </c>
      <c r="I90" s="129">
        <f>I89</f>
        <v>0</v>
      </c>
      <c r="J90" s="134"/>
      <c r="K90" s="183"/>
      <c r="L90" s="109"/>
    </row>
    <row r="91" spans="1:12" ht="15.75" customHeight="1">
      <c r="A91" s="362"/>
      <c r="B91" s="362"/>
      <c r="C91" s="362"/>
      <c r="D91" s="362"/>
      <c r="E91" s="362"/>
      <c r="F91" s="362"/>
      <c r="G91" s="362"/>
      <c r="H91" s="362"/>
      <c r="I91" s="362"/>
      <c r="J91" s="134"/>
      <c r="K91" s="109"/>
      <c r="L91" s="109"/>
    </row>
    <row r="92" spans="1:12" ht="15.75" customHeight="1">
      <c r="A92" s="351" t="s">
        <v>453</v>
      </c>
      <c r="B92" s="351"/>
      <c r="C92" s="351"/>
      <c r="D92" s="351"/>
      <c r="E92" s="351"/>
      <c r="F92" s="351"/>
      <c r="G92" s="351"/>
      <c r="H92" s="351"/>
      <c r="I92" s="351"/>
      <c r="J92" s="134"/>
      <c r="K92" s="109"/>
      <c r="L92" s="109"/>
    </row>
    <row r="93" spans="1:12" ht="15.75" customHeight="1">
      <c r="A93" s="351" t="s">
        <v>454</v>
      </c>
      <c r="B93" s="351"/>
      <c r="C93" s="351"/>
      <c r="D93" s="351"/>
      <c r="E93" s="351"/>
      <c r="F93" s="351"/>
      <c r="G93" s="351"/>
      <c r="H93" s="351"/>
      <c r="I93" s="96" t="s">
        <v>363</v>
      </c>
      <c r="J93" s="134"/>
      <c r="K93" s="109"/>
      <c r="L93" s="109"/>
    </row>
    <row r="94" spans="1:12" ht="15.75" customHeight="1">
      <c r="A94" s="95" t="s">
        <v>455</v>
      </c>
      <c r="B94" s="352" t="s">
        <v>456</v>
      </c>
      <c r="C94" s="352"/>
      <c r="D94" s="352"/>
      <c r="E94" s="352"/>
      <c r="F94" s="352"/>
      <c r="G94" s="352"/>
      <c r="H94" s="352"/>
      <c r="I94" s="133">
        <f>I86</f>
        <v>62.739999999999995</v>
      </c>
      <c r="J94" s="134"/>
      <c r="K94" s="109"/>
      <c r="L94" s="109"/>
    </row>
    <row r="95" spans="1:12" ht="15.75" customHeight="1">
      <c r="A95" s="95" t="s">
        <v>457</v>
      </c>
      <c r="B95" s="352" t="s">
        <v>458</v>
      </c>
      <c r="C95" s="352"/>
      <c r="D95" s="352"/>
      <c r="E95" s="352"/>
      <c r="F95" s="352"/>
      <c r="G95" s="352"/>
      <c r="H95" s="352"/>
      <c r="I95" s="133">
        <f>I90</f>
        <v>0</v>
      </c>
      <c r="J95" s="134"/>
      <c r="K95" s="109"/>
      <c r="L95" s="109"/>
    </row>
    <row r="96" spans="1:12" ht="15.75" customHeight="1">
      <c r="A96" s="351" t="s">
        <v>459</v>
      </c>
      <c r="B96" s="351"/>
      <c r="C96" s="351"/>
      <c r="D96" s="351"/>
      <c r="E96" s="351"/>
      <c r="F96" s="351"/>
      <c r="G96" s="351"/>
      <c r="H96" s="351"/>
      <c r="I96" s="129">
        <f>SUM(I94:I95)</f>
        <v>62.739999999999995</v>
      </c>
      <c r="J96" s="134"/>
      <c r="K96" s="109"/>
      <c r="L96" s="109"/>
    </row>
    <row r="97" spans="1:12" ht="15.75" customHeight="1">
      <c r="A97" s="362"/>
      <c r="B97" s="362"/>
      <c r="C97" s="362"/>
      <c r="D97" s="362"/>
      <c r="E97" s="362"/>
      <c r="F97" s="362"/>
      <c r="G97" s="362"/>
      <c r="H97" s="362"/>
      <c r="I97" s="362"/>
      <c r="J97" s="134"/>
      <c r="K97" s="109"/>
      <c r="L97" s="109"/>
    </row>
    <row r="98" spans="1:12" ht="15.75" customHeight="1">
      <c r="A98" s="351" t="s">
        <v>460</v>
      </c>
      <c r="B98" s="351"/>
      <c r="C98" s="351"/>
      <c r="D98" s="351"/>
      <c r="E98" s="351"/>
      <c r="F98" s="351"/>
      <c r="G98" s="351"/>
      <c r="H98" s="351"/>
      <c r="I98" s="351"/>
      <c r="J98" s="134"/>
      <c r="K98" s="109"/>
      <c r="L98" s="109"/>
    </row>
    <row r="99" spans="1:12" ht="15.75" customHeight="1">
      <c r="A99" s="96">
        <v>5</v>
      </c>
      <c r="B99" s="351" t="s">
        <v>461</v>
      </c>
      <c r="C99" s="351"/>
      <c r="D99" s="351"/>
      <c r="E99" s="351"/>
      <c r="F99" s="351"/>
      <c r="G99" s="351"/>
      <c r="H99" s="96"/>
      <c r="I99" s="96" t="s">
        <v>363</v>
      </c>
      <c r="J99" s="134"/>
      <c r="K99" s="109"/>
      <c r="L99" s="109"/>
    </row>
    <row r="100" spans="1:12" ht="15.75" customHeight="1">
      <c r="A100" s="163" t="s">
        <v>319</v>
      </c>
      <c r="B100" s="357" t="s">
        <v>462</v>
      </c>
      <c r="C100" s="357"/>
      <c r="D100" s="357"/>
      <c r="E100" s="357"/>
      <c r="F100" s="357"/>
      <c r="G100" s="357"/>
      <c r="H100" s="164" t="s">
        <v>303</v>
      </c>
      <c r="I100" s="403">
        <v>47.66</v>
      </c>
      <c r="J100" s="134"/>
      <c r="K100" s="109"/>
      <c r="L100" s="109"/>
    </row>
    <row r="101" spans="1:12" ht="15.75" customHeight="1">
      <c r="A101" s="163" t="s">
        <v>322</v>
      </c>
      <c r="B101" s="357" t="s">
        <v>463</v>
      </c>
      <c r="C101" s="357"/>
      <c r="D101" s="357"/>
      <c r="E101" s="357"/>
      <c r="F101" s="357"/>
      <c r="G101" s="357"/>
      <c r="H101" s="164" t="s">
        <v>303</v>
      </c>
      <c r="I101" s="403">
        <v>29.7</v>
      </c>
      <c r="J101" s="134"/>
      <c r="K101" s="109"/>
      <c r="L101" s="109"/>
    </row>
    <row r="102" spans="1:12" ht="15.75" customHeight="1">
      <c r="A102" s="163" t="s">
        <v>326</v>
      </c>
      <c r="B102" s="357" t="s">
        <v>464</v>
      </c>
      <c r="C102" s="357"/>
      <c r="D102" s="357"/>
      <c r="E102" s="357"/>
      <c r="F102" s="357"/>
      <c r="G102" s="357"/>
      <c r="H102" s="164" t="s">
        <v>303</v>
      </c>
      <c r="I102" s="403">
        <v>47.17</v>
      </c>
      <c r="J102" s="134"/>
      <c r="K102" s="109"/>
      <c r="L102" s="109"/>
    </row>
    <row r="103" spans="1:12" ht="15.75" customHeight="1">
      <c r="A103" s="163" t="s">
        <v>330</v>
      </c>
      <c r="B103" s="357" t="s">
        <v>465</v>
      </c>
      <c r="C103" s="357"/>
      <c r="D103" s="357"/>
      <c r="E103" s="357"/>
      <c r="F103" s="357"/>
      <c r="G103" s="357"/>
      <c r="H103" s="165" t="s">
        <v>303</v>
      </c>
      <c r="I103" s="403">
        <v>53.63</v>
      </c>
      <c r="J103" s="134"/>
      <c r="K103" s="109"/>
      <c r="L103" s="109"/>
    </row>
    <row r="104" spans="1:12" ht="15.75" customHeight="1">
      <c r="A104" s="351" t="s">
        <v>466</v>
      </c>
      <c r="B104" s="351"/>
      <c r="C104" s="351"/>
      <c r="D104" s="351"/>
      <c r="E104" s="351"/>
      <c r="F104" s="351"/>
      <c r="G104" s="351"/>
      <c r="H104" s="98" t="s">
        <v>303</v>
      </c>
      <c r="I104" s="129">
        <f>SUM(I100:I103)</f>
        <v>178.16</v>
      </c>
      <c r="J104" s="134"/>
      <c r="K104" s="109"/>
      <c r="L104" s="109"/>
    </row>
    <row r="105" spans="1:12" ht="15.75" customHeight="1">
      <c r="A105" s="371" t="s">
        <v>467</v>
      </c>
      <c r="B105" s="371"/>
      <c r="C105" s="371"/>
      <c r="D105" s="371"/>
      <c r="E105" s="371"/>
      <c r="F105" s="371"/>
      <c r="G105" s="358" t="s">
        <v>386</v>
      </c>
      <c r="H105" s="358"/>
      <c r="I105" s="135">
        <f>I29</f>
        <v>1553.96</v>
      </c>
      <c r="J105" s="134"/>
      <c r="K105" s="109"/>
      <c r="L105" s="109"/>
    </row>
    <row r="106" spans="1:12" ht="15.75" customHeight="1">
      <c r="A106" s="371"/>
      <c r="B106" s="371"/>
      <c r="C106" s="371"/>
      <c r="D106" s="371"/>
      <c r="E106" s="371"/>
      <c r="F106" s="371"/>
      <c r="G106" s="358" t="s">
        <v>430</v>
      </c>
      <c r="H106" s="358"/>
      <c r="I106" s="135">
        <f>I62</f>
        <v>1501.4180000000001</v>
      </c>
      <c r="J106" s="134"/>
      <c r="K106" s="109"/>
      <c r="L106" s="109"/>
    </row>
    <row r="107" spans="1:12" ht="15.75" customHeight="1">
      <c r="A107" s="371"/>
      <c r="B107" s="371"/>
      <c r="C107" s="371"/>
      <c r="D107" s="371"/>
      <c r="E107" s="371"/>
      <c r="F107" s="371"/>
      <c r="G107" s="358" t="s">
        <v>440</v>
      </c>
      <c r="H107" s="358"/>
      <c r="I107" s="135">
        <f>I73</f>
        <v>212.04000000000002</v>
      </c>
      <c r="J107" s="134"/>
      <c r="K107" s="109"/>
      <c r="L107" s="109"/>
    </row>
    <row r="108" spans="1:12" ht="15.75" customHeight="1">
      <c r="A108" s="371"/>
      <c r="B108" s="371"/>
      <c r="C108" s="371"/>
      <c r="D108" s="371"/>
      <c r="E108" s="371"/>
      <c r="F108" s="371"/>
      <c r="G108" s="358" t="s">
        <v>468</v>
      </c>
      <c r="H108" s="358"/>
      <c r="I108" s="135">
        <f>I96</f>
        <v>62.739999999999995</v>
      </c>
      <c r="J108" s="134"/>
      <c r="K108" s="141"/>
      <c r="L108" s="141"/>
    </row>
    <row r="109" spans="1:12" ht="15.75" customHeight="1">
      <c r="A109" s="371"/>
      <c r="B109" s="371"/>
      <c r="C109" s="371"/>
      <c r="D109" s="371"/>
      <c r="E109" s="371"/>
      <c r="F109" s="371"/>
      <c r="G109" s="358" t="s">
        <v>469</v>
      </c>
      <c r="H109" s="358"/>
      <c r="I109" s="135">
        <f>I104</f>
        <v>178.16</v>
      </c>
      <c r="J109" s="134"/>
      <c r="K109" s="141"/>
      <c r="L109" s="141"/>
    </row>
    <row r="110" spans="1:12" ht="15.75" customHeight="1">
      <c r="A110" s="371"/>
      <c r="B110" s="371"/>
      <c r="C110" s="371"/>
      <c r="D110" s="371"/>
      <c r="E110" s="371"/>
      <c r="F110" s="371"/>
      <c r="G110" s="359" t="s">
        <v>389</v>
      </c>
      <c r="H110" s="359"/>
      <c r="I110" s="140">
        <f>SUM(I105:I109)</f>
        <v>3508.3179999999998</v>
      </c>
      <c r="J110" s="134"/>
      <c r="K110" s="109"/>
      <c r="L110" s="109"/>
    </row>
    <row r="111" spans="1:12" ht="15.75" customHeight="1">
      <c r="A111" s="351" t="s">
        <v>470</v>
      </c>
      <c r="B111" s="351"/>
      <c r="C111" s="351"/>
      <c r="D111" s="351"/>
      <c r="E111" s="351"/>
      <c r="F111" s="351"/>
      <c r="G111" s="351"/>
      <c r="H111" s="351"/>
      <c r="I111" s="351"/>
      <c r="J111" s="134"/>
      <c r="K111" s="109"/>
      <c r="L111" s="109"/>
    </row>
    <row r="112" spans="1:12" ht="15.75" customHeight="1">
      <c r="A112" s="96">
        <v>6</v>
      </c>
      <c r="B112" s="351" t="s">
        <v>471</v>
      </c>
      <c r="C112" s="351"/>
      <c r="D112" s="351"/>
      <c r="E112" s="351"/>
      <c r="F112" s="351"/>
      <c r="G112" s="351"/>
      <c r="H112" s="96" t="s">
        <v>362</v>
      </c>
      <c r="I112" s="96" t="s">
        <v>363</v>
      </c>
      <c r="J112" s="134"/>
      <c r="K112" s="109"/>
      <c r="L112" s="109"/>
    </row>
    <row r="113" spans="1:12" ht="15.75" customHeight="1">
      <c r="A113" s="95" t="s">
        <v>319</v>
      </c>
      <c r="B113" s="352" t="s">
        <v>472</v>
      </c>
      <c r="C113" s="352"/>
      <c r="D113" s="352"/>
      <c r="E113" s="352"/>
      <c r="F113" s="352"/>
      <c r="G113" s="352"/>
      <c r="H113" s="404">
        <v>1.4999999999999999E-2</v>
      </c>
      <c r="I113" s="133">
        <f>ROUND(H113*I110,2)</f>
        <v>52.62</v>
      </c>
      <c r="J113" s="134"/>
      <c r="K113" s="109"/>
      <c r="L113" s="109"/>
    </row>
    <row r="114" spans="1:12" ht="15.75" customHeight="1">
      <c r="A114" s="95" t="s">
        <v>322</v>
      </c>
      <c r="B114" s="352" t="s">
        <v>473</v>
      </c>
      <c r="C114" s="352"/>
      <c r="D114" s="352"/>
      <c r="E114" s="352"/>
      <c r="F114" s="352"/>
      <c r="G114" s="352"/>
      <c r="H114" s="404">
        <v>1.4999999999999999E-2</v>
      </c>
      <c r="I114" s="133">
        <f>ROUND(H114*(I110+I113),2)</f>
        <v>53.41</v>
      </c>
      <c r="J114" s="134"/>
      <c r="K114" s="109"/>
      <c r="L114" s="109"/>
    </row>
    <row r="115" spans="1:12" ht="15.75" customHeight="1">
      <c r="A115" s="95" t="s">
        <v>326</v>
      </c>
      <c r="B115" s="364" t="s">
        <v>474</v>
      </c>
      <c r="C115" s="364"/>
      <c r="D115" s="364"/>
      <c r="E115" s="364"/>
      <c r="F115" s="364"/>
      <c r="G115" s="364"/>
      <c r="H115" s="97"/>
      <c r="I115" s="184"/>
      <c r="J115" s="134"/>
      <c r="K115" s="109"/>
      <c r="L115" s="109"/>
    </row>
    <row r="116" spans="1:12" ht="15.75" customHeight="1">
      <c r="A116" s="95" t="s">
        <v>475</v>
      </c>
      <c r="B116" s="352" t="s">
        <v>476</v>
      </c>
      <c r="C116" s="352"/>
      <c r="D116" s="352"/>
      <c r="E116" s="352"/>
      <c r="F116" s="352"/>
      <c r="G116" s="352"/>
      <c r="H116" s="404">
        <v>5.7999999999999996E-3</v>
      </c>
      <c r="I116" s="133">
        <f>ROUND($I$126*H116,2)</f>
        <v>22.85</v>
      </c>
      <c r="J116" s="134"/>
      <c r="K116" s="109"/>
      <c r="L116" s="109"/>
    </row>
    <row r="117" spans="1:12" ht="15.75" customHeight="1">
      <c r="A117" s="95" t="s">
        <v>477</v>
      </c>
      <c r="B117" s="352" t="s">
        <v>376</v>
      </c>
      <c r="C117" s="352"/>
      <c r="D117" s="352"/>
      <c r="E117" s="352"/>
      <c r="F117" s="352"/>
      <c r="G117" s="352"/>
      <c r="H117" s="404">
        <v>2.6599999999999999E-2</v>
      </c>
      <c r="I117" s="133">
        <f>ROUND($I$126*H117,2)</f>
        <v>104.78</v>
      </c>
      <c r="J117" s="134"/>
      <c r="K117" s="109"/>
      <c r="L117" s="109"/>
    </row>
    <row r="118" spans="1:12" ht="15.75" customHeight="1">
      <c r="A118" s="95" t="s">
        <v>478</v>
      </c>
      <c r="B118" s="352" t="s">
        <v>479</v>
      </c>
      <c r="C118" s="352"/>
      <c r="D118" s="352"/>
      <c r="E118" s="352"/>
      <c r="F118" s="352"/>
      <c r="G118" s="352"/>
      <c r="H118" s="167">
        <v>0.05</v>
      </c>
      <c r="I118" s="133">
        <f>ROUND($I$126*H118,2)</f>
        <v>196.95</v>
      </c>
      <c r="J118" s="134"/>
      <c r="K118" s="109"/>
      <c r="L118" s="109"/>
    </row>
    <row r="119" spans="1:12" ht="15.75" customHeight="1">
      <c r="A119" s="351" t="s">
        <v>480</v>
      </c>
      <c r="B119" s="351"/>
      <c r="C119" s="351"/>
      <c r="D119" s="351"/>
      <c r="E119" s="351"/>
      <c r="F119" s="351"/>
      <c r="G119" s="351"/>
      <c r="H119" s="168">
        <f>SUM(H113:H118)</f>
        <v>0.1124</v>
      </c>
      <c r="I119" s="129">
        <f>SUM(I113:I118)</f>
        <v>430.61</v>
      </c>
      <c r="J119" s="134"/>
      <c r="K119" s="109"/>
      <c r="L119" s="109"/>
    </row>
    <row r="120" spans="1:12" ht="9.9499999999999993" customHeight="1">
      <c r="A120" s="169"/>
      <c r="B120" s="170"/>
      <c r="C120" s="170"/>
      <c r="D120" s="170"/>
      <c r="E120" s="170"/>
      <c r="F120" s="170"/>
      <c r="G120" s="170"/>
      <c r="H120" s="171"/>
      <c r="I120" s="185"/>
      <c r="J120" s="134"/>
      <c r="K120" s="109"/>
      <c r="L120" s="109"/>
    </row>
    <row r="121" spans="1:12" ht="15.75" customHeight="1">
      <c r="A121" s="172" t="s">
        <v>481</v>
      </c>
      <c r="B121" s="365" t="s">
        <v>482</v>
      </c>
      <c r="C121" s="365"/>
      <c r="D121" s="365"/>
      <c r="E121" s="365"/>
      <c r="F121" s="365"/>
      <c r="G121" s="365"/>
      <c r="H121" s="174">
        <f>SUM(H116+H117+H118)</f>
        <v>8.2400000000000001E-2</v>
      </c>
      <c r="I121" s="186"/>
      <c r="J121" s="134"/>
      <c r="K121" s="109"/>
      <c r="L121" s="109"/>
    </row>
    <row r="122" spans="1:12" ht="15.75" customHeight="1">
      <c r="A122" s="172"/>
      <c r="B122" s="365">
        <v>100</v>
      </c>
      <c r="C122" s="365"/>
      <c r="D122" s="365"/>
      <c r="E122" s="365"/>
      <c r="F122" s="365"/>
      <c r="G122" s="365"/>
      <c r="H122" s="174"/>
      <c r="I122" s="186"/>
      <c r="J122" s="134"/>
      <c r="K122" s="109"/>
      <c r="L122" s="109"/>
    </row>
    <row r="123" spans="1:12" ht="15.75" customHeight="1">
      <c r="A123" s="175"/>
      <c r="B123" s="176"/>
      <c r="C123" s="176"/>
      <c r="D123" s="176"/>
      <c r="E123" s="176"/>
      <c r="F123" s="176"/>
      <c r="G123" s="176"/>
      <c r="H123" s="176"/>
      <c r="I123" s="187"/>
      <c r="J123" s="134"/>
      <c r="K123" s="141"/>
      <c r="L123" s="141"/>
    </row>
    <row r="124" spans="1:12" ht="15.75" customHeight="1">
      <c r="A124" s="172" t="s">
        <v>483</v>
      </c>
      <c r="B124" s="365" t="s">
        <v>484</v>
      </c>
      <c r="C124" s="365"/>
      <c r="D124" s="365"/>
      <c r="E124" s="365"/>
      <c r="F124" s="365"/>
      <c r="G124" s="365"/>
      <c r="H124" s="174"/>
      <c r="I124" s="186">
        <f>I110+I113+I114</f>
        <v>3614.3479999999995</v>
      </c>
      <c r="J124" s="134"/>
      <c r="K124" s="109"/>
      <c r="L124" s="109"/>
    </row>
    <row r="125" spans="1:12" ht="15.75" customHeight="1">
      <c r="A125" s="177"/>
      <c r="B125" s="178"/>
      <c r="C125" s="178"/>
      <c r="D125" s="178"/>
      <c r="E125" s="178"/>
      <c r="F125" s="178"/>
      <c r="G125" s="178"/>
      <c r="H125" s="178"/>
      <c r="I125" s="188"/>
      <c r="J125" s="134"/>
      <c r="K125" s="109"/>
      <c r="L125" s="109"/>
    </row>
    <row r="126" spans="1:12" ht="15.75" customHeight="1">
      <c r="A126" s="172" t="s">
        <v>485</v>
      </c>
      <c r="B126" s="365" t="s">
        <v>486</v>
      </c>
      <c r="C126" s="365"/>
      <c r="D126" s="365"/>
      <c r="E126" s="365"/>
      <c r="F126" s="365"/>
      <c r="G126" s="365"/>
      <c r="H126" s="174"/>
      <c r="I126" s="186">
        <f>ROUND(I124/(1-H121),2)</f>
        <v>3938.91</v>
      </c>
      <c r="J126" s="134"/>
      <c r="K126" s="109"/>
      <c r="L126" s="109"/>
    </row>
    <row r="127" spans="1:12" ht="15.75" customHeight="1">
      <c r="A127" s="172"/>
      <c r="B127" s="173"/>
      <c r="C127" s="173"/>
      <c r="D127" s="173"/>
      <c r="E127" s="173"/>
      <c r="F127" s="173"/>
      <c r="G127" s="173"/>
      <c r="H127" s="174"/>
      <c r="I127" s="186"/>
      <c r="J127" s="134"/>
      <c r="K127" s="109"/>
      <c r="L127" s="109"/>
    </row>
    <row r="128" spans="1:12" ht="15.75" customHeight="1">
      <c r="A128" s="172"/>
      <c r="B128" s="365" t="s">
        <v>487</v>
      </c>
      <c r="C128" s="365"/>
      <c r="D128" s="365"/>
      <c r="E128" s="365"/>
      <c r="F128" s="365"/>
      <c r="G128" s="365"/>
      <c r="H128" s="174"/>
      <c r="I128" s="186">
        <f>I126-I124</f>
        <v>324.56200000000035</v>
      </c>
      <c r="J128" s="134"/>
      <c r="K128" s="109"/>
      <c r="L128" s="109"/>
    </row>
    <row r="129" spans="1:12" ht="12" customHeight="1">
      <c r="A129" s="172"/>
      <c r="B129" s="173"/>
      <c r="H129" s="174"/>
      <c r="I129" s="186"/>
      <c r="J129" s="134"/>
      <c r="K129" s="109"/>
      <c r="L129" s="109"/>
    </row>
    <row r="130" spans="1:12" ht="15.75" customHeight="1">
      <c r="A130" s="351" t="s">
        <v>488</v>
      </c>
      <c r="B130" s="351"/>
      <c r="C130" s="351"/>
      <c r="D130" s="351"/>
      <c r="E130" s="351"/>
      <c r="F130" s="351"/>
      <c r="G130" s="351"/>
      <c r="H130" s="351"/>
      <c r="I130" s="351"/>
      <c r="J130" s="134"/>
      <c r="K130" s="109"/>
      <c r="L130" s="109"/>
    </row>
    <row r="131" spans="1:12" ht="15.75" customHeight="1">
      <c r="A131" s="351" t="s">
        <v>489</v>
      </c>
      <c r="B131" s="351"/>
      <c r="C131" s="351"/>
      <c r="D131" s="351"/>
      <c r="E131" s="351"/>
      <c r="F131" s="351"/>
      <c r="G131" s="351"/>
      <c r="H131" s="351"/>
      <c r="I131" s="96" t="s">
        <v>363</v>
      </c>
      <c r="J131" s="134"/>
      <c r="K131" s="141"/>
      <c r="L131" s="141"/>
    </row>
    <row r="132" spans="1:12" ht="15.75" customHeight="1">
      <c r="A132" s="63" t="s">
        <v>319</v>
      </c>
      <c r="B132" s="352" t="str">
        <f>A21</f>
        <v>MÓDULO 1 - COMPOSIÇÃO DA REMUNERAÇÃO</v>
      </c>
      <c r="C132" s="352"/>
      <c r="D132" s="352"/>
      <c r="E132" s="352"/>
      <c r="F132" s="352"/>
      <c r="G132" s="352"/>
      <c r="H132" s="352"/>
      <c r="I132" s="189">
        <f>I29</f>
        <v>1553.96</v>
      </c>
      <c r="J132" s="134"/>
      <c r="K132" s="141"/>
      <c r="L132" s="141"/>
    </row>
    <row r="133" spans="1:12" ht="15.75" customHeight="1">
      <c r="A133" s="63" t="s">
        <v>322</v>
      </c>
      <c r="B133" s="352" t="str">
        <f>A31</f>
        <v>MÓDULO 2 – ENCARGOS E BENEFÍCIOS ANUAIS, MENSAIS E DIÁRIOS</v>
      </c>
      <c r="C133" s="352"/>
      <c r="D133" s="352"/>
      <c r="E133" s="352"/>
      <c r="F133" s="352"/>
      <c r="G133" s="352"/>
      <c r="H133" s="352"/>
      <c r="I133" s="189">
        <f>I62</f>
        <v>1501.4180000000001</v>
      </c>
      <c r="J133" s="134"/>
      <c r="K133" s="141"/>
      <c r="L133" s="141"/>
    </row>
    <row r="134" spans="1:12" ht="15.75" customHeight="1">
      <c r="A134" s="63" t="s">
        <v>326</v>
      </c>
      <c r="B134" s="352" t="str">
        <f>A66</f>
        <v>MÓDULO 3 – PROVISÃO PARA RESCISÃO</v>
      </c>
      <c r="C134" s="352"/>
      <c r="D134" s="352"/>
      <c r="E134" s="352"/>
      <c r="F134" s="352"/>
      <c r="G134" s="352"/>
      <c r="H134" s="352"/>
      <c r="I134" s="189">
        <f>I73</f>
        <v>212.04000000000002</v>
      </c>
      <c r="J134" s="134"/>
      <c r="K134" s="100"/>
      <c r="L134" s="100"/>
    </row>
    <row r="135" spans="1:12" ht="15.75" customHeight="1">
      <c r="A135" s="63" t="s">
        <v>330</v>
      </c>
      <c r="B135" s="352" t="str">
        <f>A78</f>
        <v>MÓDULO 4 – CUSTO DE REPOSIÇÃO DO PROFISSIONAL AUSENTE</v>
      </c>
      <c r="C135" s="352"/>
      <c r="D135" s="352"/>
      <c r="E135" s="352"/>
      <c r="F135" s="352"/>
      <c r="G135" s="352"/>
      <c r="H135" s="352"/>
      <c r="I135" s="189">
        <f>I96</f>
        <v>62.739999999999995</v>
      </c>
      <c r="J135" s="190"/>
      <c r="K135" s="100"/>
      <c r="L135" s="100"/>
    </row>
    <row r="136" spans="1:12" ht="15.75" customHeight="1">
      <c r="A136" s="63" t="s">
        <v>372</v>
      </c>
      <c r="B136" s="352" t="str">
        <f>A98</f>
        <v>MÓDULO 5 – INSUMOS DIVERSOS</v>
      </c>
      <c r="C136" s="352"/>
      <c r="D136" s="352"/>
      <c r="E136" s="352"/>
      <c r="F136" s="352"/>
      <c r="G136" s="352"/>
      <c r="H136" s="352"/>
      <c r="I136" s="189">
        <f>I104</f>
        <v>178.16</v>
      </c>
      <c r="J136" s="134"/>
      <c r="K136" s="100"/>
      <c r="L136" s="100"/>
    </row>
    <row r="137" spans="1:12" ht="15.75" customHeight="1">
      <c r="A137" s="351" t="s">
        <v>490</v>
      </c>
      <c r="B137" s="351"/>
      <c r="C137" s="351"/>
      <c r="D137" s="351"/>
      <c r="E137" s="351"/>
      <c r="F137" s="351"/>
      <c r="G137" s="351"/>
      <c r="H137" s="351"/>
      <c r="I137" s="129">
        <f>SUM(I132:I136)</f>
        <v>3508.3179999999998</v>
      </c>
      <c r="J137" s="134"/>
    </row>
    <row r="138" spans="1:12" ht="15.75" customHeight="1">
      <c r="A138" s="63" t="s">
        <v>374</v>
      </c>
      <c r="B138" s="352" t="str">
        <f>A111</f>
        <v>MÓDULO 6 – CUSTOS INDIRETOS, TRIBUTOS E LUCRO</v>
      </c>
      <c r="C138" s="352"/>
      <c r="D138" s="352"/>
      <c r="E138" s="352"/>
      <c r="F138" s="352"/>
      <c r="G138" s="352"/>
      <c r="H138" s="352"/>
      <c r="I138" s="189">
        <f>I119</f>
        <v>430.61</v>
      </c>
      <c r="J138" s="191">
        <f>SUM(J28:J137)</f>
        <v>2851.2740400000002</v>
      </c>
    </row>
    <row r="139" spans="1:12" ht="15.75" customHeight="1">
      <c r="A139" s="351" t="s">
        <v>491</v>
      </c>
      <c r="B139" s="351"/>
      <c r="C139" s="351"/>
      <c r="D139" s="351"/>
      <c r="E139" s="351"/>
      <c r="F139" s="351"/>
      <c r="G139" s="351"/>
      <c r="H139" s="351"/>
      <c r="I139" s="129">
        <f>SUM(I137:I138)</f>
        <v>3938.9279999999999</v>
      </c>
    </row>
    <row r="140" spans="1:12" ht="15.75" customHeight="1"/>
    <row r="141" spans="1:12" ht="15.75" customHeight="1"/>
    <row r="142" spans="1:12" ht="15.75" customHeight="1"/>
    <row r="143" spans="1:12" ht="15.75" customHeight="1"/>
    <row r="144" spans="1:12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49">
    <mergeCell ref="B135:H135"/>
    <mergeCell ref="B136:H136"/>
    <mergeCell ref="A137:H137"/>
    <mergeCell ref="B138:H138"/>
    <mergeCell ref="A139:H139"/>
    <mergeCell ref="J1:J28"/>
    <mergeCell ref="K50:K52"/>
    <mergeCell ref="L50:L52"/>
    <mergeCell ref="A36:F38"/>
    <mergeCell ref="A63:F65"/>
    <mergeCell ref="A74:F77"/>
    <mergeCell ref="A105:F110"/>
    <mergeCell ref="K60:L69"/>
    <mergeCell ref="B122:G122"/>
    <mergeCell ref="B124:G124"/>
    <mergeCell ref="B126:G126"/>
    <mergeCell ref="B128:G128"/>
    <mergeCell ref="A130:I130"/>
    <mergeCell ref="A131:H131"/>
    <mergeCell ref="B132:H132"/>
    <mergeCell ref="B133:H133"/>
    <mergeCell ref="B134:H134"/>
    <mergeCell ref="B112:G112"/>
    <mergeCell ref="B113:G113"/>
    <mergeCell ref="B114:G114"/>
    <mergeCell ref="B115:G115"/>
    <mergeCell ref="B116:G116"/>
    <mergeCell ref="B117:G117"/>
    <mergeCell ref="B118:G118"/>
    <mergeCell ref="A119:G119"/>
    <mergeCell ref="B121:G121"/>
    <mergeCell ref="B103:G103"/>
    <mergeCell ref="A104:G104"/>
    <mergeCell ref="G105:H105"/>
    <mergeCell ref="G106:H106"/>
    <mergeCell ref="G107:H107"/>
    <mergeCell ref="G108:H108"/>
    <mergeCell ref="G109:H109"/>
    <mergeCell ref="G110:H110"/>
    <mergeCell ref="A111:I111"/>
    <mergeCell ref="B94:H94"/>
    <mergeCell ref="B95:H95"/>
    <mergeCell ref="A96:H96"/>
    <mergeCell ref="A97:I97"/>
    <mergeCell ref="A98:I98"/>
    <mergeCell ref="B99:G99"/>
    <mergeCell ref="B100:G100"/>
    <mergeCell ref="B101:G101"/>
    <mergeCell ref="B102:G102"/>
    <mergeCell ref="B85:G85"/>
    <mergeCell ref="A86:G86"/>
    <mergeCell ref="A87:I87"/>
    <mergeCell ref="A88:G88"/>
    <mergeCell ref="B89:G89"/>
    <mergeCell ref="A90:G90"/>
    <mergeCell ref="A91:I91"/>
    <mergeCell ref="A92:I92"/>
    <mergeCell ref="A93:H93"/>
    <mergeCell ref="G76:H76"/>
    <mergeCell ref="G77:H77"/>
    <mergeCell ref="A78:I78"/>
    <mergeCell ref="A79:G79"/>
    <mergeCell ref="B80:G80"/>
    <mergeCell ref="B81:G81"/>
    <mergeCell ref="B82:G82"/>
    <mergeCell ref="B83:G83"/>
    <mergeCell ref="B84:G84"/>
    <mergeCell ref="B67:G67"/>
    <mergeCell ref="B68:G68"/>
    <mergeCell ref="B69:G69"/>
    <mergeCell ref="B70:G70"/>
    <mergeCell ref="B71:G71"/>
    <mergeCell ref="B72:G72"/>
    <mergeCell ref="A73:G73"/>
    <mergeCell ref="G74:H74"/>
    <mergeCell ref="G75:H75"/>
    <mergeCell ref="A58:H58"/>
    <mergeCell ref="B59:H59"/>
    <mergeCell ref="B60:H60"/>
    <mergeCell ref="B61:H61"/>
    <mergeCell ref="A62:H62"/>
    <mergeCell ref="G63:H63"/>
    <mergeCell ref="G64:H64"/>
    <mergeCell ref="G65:H65"/>
    <mergeCell ref="A66:I66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B41:G41"/>
    <mergeCell ref="B42:G42"/>
    <mergeCell ref="B43:G43"/>
    <mergeCell ref="B44:G44"/>
    <mergeCell ref="B45:G45"/>
    <mergeCell ref="B46:G46"/>
    <mergeCell ref="B47:G47"/>
    <mergeCell ref="K47:L47"/>
    <mergeCell ref="A48:G48"/>
    <mergeCell ref="K48:L48"/>
    <mergeCell ref="A32:G32"/>
    <mergeCell ref="B33:G33"/>
    <mergeCell ref="B34:G34"/>
    <mergeCell ref="A35:G35"/>
    <mergeCell ref="G36:H36"/>
    <mergeCell ref="G37:H37"/>
    <mergeCell ref="G38:H38"/>
    <mergeCell ref="A39:G39"/>
    <mergeCell ref="B40:G40"/>
    <mergeCell ref="B23:G23"/>
    <mergeCell ref="B24:G24"/>
    <mergeCell ref="B25:G25"/>
    <mergeCell ref="B26:G26"/>
    <mergeCell ref="B27:G27"/>
    <mergeCell ref="B28:G28"/>
    <mergeCell ref="A29:H29"/>
    <mergeCell ref="A30:I30"/>
    <mergeCell ref="A31:I31"/>
    <mergeCell ref="A14:I14"/>
    <mergeCell ref="B15:H15"/>
    <mergeCell ref="B16:H16"/>
    <mergeCell ref="B17:H17"/>
    <mergeCell ref="B18:H18"/>
    <mergeCell ref="B19:H19"/>
    <mergeCell ref="A20:I20"/>
    <mergeCell ref="A21:I21"/>
    <mergeCell ref="B22:G22"/>
    <mergeCell ref="B9:H9"/>
    <mergeCell ref="A10:I10"/>
    <mergeCell ref="A11:I11"/>
    <mergeCell ref="A12:B12"/>
    <mergeCell ref="C12:D12"/>
    <mergeCell ref="E12:I12"/>
    <mergeCell ref="A13:B13"/>
    <mergeCell ref="C13:D13"/>
    <mergeCell ref="E13:I13"/>
    <mergeCell ref="A1:I1"/>
    <mergeCell ref="A2:I2"/>
    <mergeCell ref="A3:G3"/>
    <mergeCell ref="H3:I3"/>
    <mergeCell ref="A4:I4"/>
    <mergeCell ref="A5:I5"/>
    <mergeCell ref="B6:H6"/>
    <mergeCell ref="B7:H7"/>
    <mergeCell ref="B8:H8"/>
  </mergeCells>
  <pageMargins left="0.31527777777777799" right="0.31527777777777799" top="0.31527777777777799" bottom="0.31527777777777799" header="0.51180555555555496" footer="0.51180555555555496"/>
  <pageSetup paperSize="9" scale="70" firstPageNumber="0" orientation="portrait" useFirstPageNumber="1" horizontalDpi="300" verticalDpi="300"/>
  <rowBreaks count="1" manualBreakCount="1">
    <brk id="140" max="16383" man="1"/>
  </rowBreaks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4"/>
  <sheetViews>
    <sheetView view="pageBreakPreview" topLeftCell="B14" zoomScaleNormal="100" workbookViewId="0">
      <selection activeCell="B83" sqref="B83"/>
    </sheetView>
  </sheetViews>
  <sheetFormatPr defaultColWidth="9" defaultRowHeight="15"/>
  <cols>
    <col min="1" max="1" width="5.28515625" style="1" customWidth="1"/>
    <col min="2" max="2" width="79" style="1" customWidth="1"/>
    <col min="3" max="3" width="14.5703125" style="1" customWidth="1"/>
    <col min="4" max="4" width="7.7109375" style="1" customWidth="1"/>
    <col min="5" max="5" width="10.140625" style="1" customWidth="1"/>
    <col min="6" max="6" width="13.140625" style="1" customWidth="1"/>
    <col min="7" max="1025" width="14.42578125" customWidth="1"/>
  </cols>
  <sheetData>
    <row r="1" spans="1:6" ht="15" customHeight="1">
      <c r="A1" s="380" t="s">
        <v>514</v>
      </c>
      <c r="B1" s="380"/>
      <c r="C1" s="380"/>
      <c r="D1" s="380"/>
      <c r="E1" s="380"/>
      <c r="F1" s="380"/>
    </row>
    <row r="2" spans="1:6" ht="8.4499999999999993" customHeight="1">
      <c r="A2" s="380"/>
      <c r="B2" s="380"/>
      <c r="C2" s="380"/>
      <c r="D2" s="380"/>
      <c r="E2" s="380"/>
      <c r="F2" s="380"/>
    </row>
    <row r="3" spans="1:6" ht="25.5">
      <c r="A3" s="2" t="s">
        <v>1</v>
      </c>
      <c r="B3" s="3" t="s">
        <v>2</v>
      </c>
      <c r="C3" s="3" t="s">
        <v>515</v>
      </c>
      <c r="D3" s="2" t="s">
        <v>516</v>
      </c>
      <c r="E3" s="4" t="s">
        <v>517</v>
      </c>
      <c r="F3" s="5" t="s">
        <v>518</v>
      </c>
    </row>
    <row r="4" spans="1:6" ht="72.95" customHeight="1">
      <c r="A4" s="6" t="s">
        <v>519</v>
      </c>
      <c r="B4" s="12" t="s">
        <v>520</v>
      </c>
      <c r="C4" s="13" t="s">
        <v>521</v>
      </c>
      <c r="D4" s="6">
        <v>12</v>
      </c>
      <c r="E4" s="11">
        <v>30.85</v>
      </c>
      <c r="F4" s="11">
        <f t="shared" ref="F4:F30" si="0">E4*D4</f>
        <v>370.2</v>
      </c>
    </row>
    <row r="5" spans="1:6" ht="25.5">
      <c r="A5" s="6" t="s">
        <v>522</v>
      </c>
      <c r="B5" s="12" t="s">
        <v>523</v>
      </c>
      <c r="C5" s="13" t="s">
        <v>521</v>
      </c>
      <c r="D5" s="6">
        <v>6</v>
      </c>
      <c r="E5" s="11">
        <v>87.78</v>
      </c>
      <c r="F5" s="11">
        <f t="shared" si="0"/>
        <v>526.67999999999995</v>
      </c>
    </row>
    <row r="6" spans="1:6">
      <c r="A6" s="6" t="s">
        <v>524</v>
      </c>
      <c r="B6" s="12" t="s">
        <v>525</v>
      </c>
      <c r="C6" s="13" t="s">
        <v>526</v>
      </c>
      <c r="D6" s="6">
        <v>12</v>
      </c>
      <c r="E6" s="11">
        <v>5.42</v>
      </c>
      <c r="F6" s="11">
        <f t="shared" si="0"/>
        <v>65.040000000000006</v>
      </c>
    </row>
    <row r="7" spans="1:6" ht="38.25">
      <c r="A7" s="6" t="s">
        <v>527</v>
      </c>
      <c r="B7" s="12" t="s">
        <v>528</v>
      </c>
      <c r="C7" s="13" t="s">
        <v>529</v>
      </c>
      <c r="D7" s="6">
        <v>20</v>
      </c>
      <c r="E7" s="11">
        <v>29.99</v>
      </c>
      <c r="F7" s="11">
        <f t="shared" si="0"/>
        <v>599.79999999999995</v>
      </c>
    </row>
    <row r="8" spans="1:6" ht="25.5">
      <c r="A8" s="6" t="s">
        <v>530</v>
      </c>
      <c r="B8" s="12" t="s">
        <v>531</v>
      </c>
      <c r="C8" s="13" t="s">
        <v>515</v>
      </c>
      <c r="D8" s="6">
        <v>40</v>
      </c>
      <c r="E8" s="11">
        <v>14.46</v>
      </c>
      <c r="F8" s="11">
        <f t="shared" si="0"/>
        <v>578.4</v>
      </c>
    </row>
    <row r="9" spans="1:6" ht="25.5">
      <c r="A9" s="6" t="s">
        <v>532</v>
      </c>
      <c r="B9" s="12" t="s">
        <v>533</v>
      </c>
      <c r="C9" s="13" t="s">
        <v>526</v>
      </c>
      <c r="D9" s="6">
        <v>200</v>
      </c>
      <c r="E9" s="11">
        <v>16.46</v>
      </c>
      <c r="F9" s="11">
        <f t="shared" si="0"/>
        <v>3292</v>
      </c>
    </row>
    <row r="10" spans="1:6" ht="38.25">
      <c r="A10" s="6" t="s">
        <v>534</v>
      </c>
      <c r="B10" s="12" t="s">
        <v>535</v>
      </c>
      <c r="C10" s="13" t="s">
        <v>515</v>
      </c>
      <c r="D10" s="6">
        <v>100</v>
      </c>
      <c r="E10" s="11">
        <v>7.94</v>
      </c>
      <c r="F10" s="11">
        <f t="shared" si="0"/>
        <v>794</v>
      </c>
    </row>
    <row r="11" spans="1:6" ht="29.1" customHeight="1">
      <c r="A11" s="6" t="s">
        <v>536</v>
      </c>
      <c r="B11" s="12" t="s">
        <v>537</v>
      </c>
      <c r="C11" s="13" t="s">
        <v>521</v>
      </c>
      <c r="D11" s="6">
        <v>3</v>
      </c>
      <c r="E11" s="11">
        <v>74.28</v>
      </c>
      <c r="F11" s="11">
        <f t="shared" si="0"/>
        <v>222.84</v>
      </c>
    </row>
    <row r="12" spans="1:6" ht="27.95" customHeight="1">
      <c r="A12" s="6" t="s">
        <v>538</v>
      </c>
      <c r="B12" s="12" t="s">
        <v>539</v>
      </c>
      <c r="C12" s="13" t="s">
        <v>515</v>
      </c>
      <c r="D12" s="6">
        <v>60</v>
      </c>
      <c r="E12" s="11">
        <v>4.12</v>
      </c>
      <c r="F12" s="11">
        <f t="shared" si="0"/>
        <v>247.2</v>
      </c>
    </row>
    <row r="13" spans="1:6">
      <c r="A13" s="6" t="s">
        <v>540</v>
      </c>
      <c r="B13" s="12" t="s">
        <v>541</v>
      </c>
      <c r="C13" s="13" t="s">
        <v>515</v>
      </c>
      <c r="D13" s="6">
        <v>10</v>
      </c>
      <c r="E13" s="11">
        <v>8.43</v>
      </c>
      <c r="F13" s="11">
        <f t="shared" si="0"/>
        <v>84.3</v>
      </c>
    </row>
    <row r="14" spans="1:6" ht="25.5">
      <c r="A14" s="6" t="s">
        <v>542</v>
      </c>
      <c r="B14" s="12" t="s">
        <v>543</v>
      </c>
      <c r="C14" s="13" t="s">
        <v>515</v>
      </c>
      <c r="D14" s="6">
        <v>100</v>
      </c>
      <c r="E14" s="11">
        <v>7.08</v>
      </c>
      <c r="F14" s="11">
        <f t="shared" si="0"/>
        <v>708</v>
      </c>
    </row>
    <row r="15" spans="1:6" ht="27" customHeight="1">
      <c r="A15" s="6" t="s">
        <v>544</v>
      </c>
      <c r="B15" s="12" t="s">
        <v>545</v>
      </c>
      <c r="C15" s="13" t="s">
        <v>546</v>
      </c>
      <c r="D15" s="6">
        <v>1</v>
      </c>
      <c r="E15" s="11">
        <v>23.73</v>
      </c>
      <c r="F15" s="11">
        <f t="shared" si="0"/>
        <v>23.73</v>
      </c>
    </row>
    <row r="16" spans="1:6" ht="21" customHeight="1">
      <c r="A16" s="6" t="s">
        <v>547</v>
      </c>
      <c r="B16" s="12" t="s">
        <v>548</v>
      </c>
      <c r="C16" s="13" t="s">
        <v>515</v>
      </c>
      <c r="D16" s="6">
        <v>20</v>
      </c>
      <c r="E16" s="11">
        <v>17.45</v>
      </c>
      <c r="F16" s="11">
        <f t="shared" si="0"/>
        <v>349</v>
      </c>
    </row>
    <row r="17" spans="1:6" ht="27" customHeight="1">
      <c r="A17" s="6" t="s">
        <v>549</v>
      </c>
      <c r="B17" s="12" t="s">
        <v>550</v>
      </c>
      <c r="C17" s="13" t="s">
        <v>551</v>
      </c>
      <c r="D17" s="6">
        <v>200</v>
      </c>
      <c r="E17" s="11">
        <v>26.92</v>
      </c>
      <c r="F17" s="11">
        <f t="shared" si="0"/>
        <v>5384</v>
      </c>
    </row>
    <row r="18" spans="1:6" ht="44.1" customHeight="1">
      <c r="A18" s="6" t="s">
        <v>552</v>
      </c>
      <c r="B18" s="12" t="s">
        <v>553</v>
      </c>
      <c r="C18" s="13" t="s">
        <v>554</v>
      </c>
      <c r="D18" s="6">
        <v>30</v>
      </c>
      <c r="E18" s="11">
        <v>141.63</v>
      </c>
      <c r="F18" s="11">
        <f t="shared" si="0"/>
        <v>4248.8999999999996</v>
      </c>
    </row>
    <row r="19" spans="1:6" ht="44.1" customHeight="1">
      <c r="A19" s="6" t="s">
        <v>555</v>
      </c>
      <c r="B19" s="12" t="s">
        <v>556</v>
      </c>
      <c r="C19" s="13" t="s">
        <v>557</v>
      </c>
      <c r="D19" s="6">
        <v>8</v>
      </c>
      <c r="E19" s="11">
        <v>28.88</v>
      </c>
      <c r="F19" s="11">
        <f t="shared" si="0"/>
        <v>231.04</v>
      </c>
    </row>
    <row r="20" spans="1:6" ht="18.95" customHeight="1">
      <c r="A20" s="6" t="s">
        <v>558</v>
      </c>
      <c r="B20" s="12" t="s">
        <v>559</v>
      </c>
      <c r="C20" s="13" t="s">
        <v>515</v>
      </c>
      <c r="D20" s="6">
        <v>75</v>
      </c>
      <c r="E20" s="11">
        <v>7.79</v>
      </c>
      <c r="F20" s="11">
        <f t="shared" si="0"/>
        <v>584.25</v>
      </c>
    </row>
    <row r="21" spans="1:6" ht="27" customHeight="1">
      <c r="A21" s="6" t="s">
        <v>560</v>
      </c>
      <c r="B21" s="12" t="s">
        <v>561</v>
      </c>
      <c r="C21" s="13" t="s">
        <v>562</v>
      </c>
      <c r="D21" s="6">
        <v>5</v>
      </c>
      <c r="E21" s="11">
        <v>13.41</v>
      </c>
      <c r="F21" s="11">
        <f t="shared" si="0"/>
        <v>67.05</v>
      </c>
    </row>
    <row r="22" spans="1:6" ht="24.95" customHeight="1">
      <c r="A22" s="6" t="s">
        <v>563</v>
      </c>
      <c r="B22" s="12" t="s">
        <v>564</v>
      </c>
      <c r="C22" s="13" t="s">
        <v>565</v>
      </c>
      <c r="D22" s="6">
        <v>30</v>
      </c>
      <c r="E22" s="11">
        <v>35.299999999999997</v>
      </c>
      <c r="F22" s="11">
        <f t="shared" si="0"/>
        <v>1059</v>
      </c>
    </row>
    <row r="23" spans="1:6" ht="26.1" customHeight="1">
      <c r="A23" s="6" t="s">
        <v>566</v>
      </c>
      <c r="B23" s="12" t="s">
        <v>567</v>
      </c>
      <c r="C23" s="13" t="s">
        <v>565</v>
      </c>
      <c r="D23" s="6">
        <v>15</v>
      </c>
      <c r="E23" s="11">
        <v>36.47</v>
      </c>
      <c r="F23" s="11">
        <f t="shared" si="0"/>
        <v>547.04999999999995</v>
      </c>
    </row>
    <row r="24" spans="1:6" ht="27" customHeight="1">
      <c r="A24" s="6" t="s">
        <v>568</v>
      </c>
      <c r="B24" s="12" t="s">
        <v>569</v>
      </c>
      <c r="C24" s="13" t="s">
        <v>565</v>
      </c>
      <c r="D24" s="6">
        <v>30</v>
      </c>
      <c r="E24" s="11">
        <v>48.76</v>
      </c>
      <c r="F24" s="11">
        <f t="shared" si="0"/>
        <v>1462.8</v>
      </c>
    </row>
    <row r="25" spans="1:6" ht="26.1" customHeight="1">
      <c r="A25" s="6" t="s">
        <v>570</v>
      </c>
      <c r="B25" s="12" t="s">
        <v>571</v>
      </c>
      <c r="C25" s="13" t="s">
        <v>521</v>
      </c>
      <c r="D25" s="6">
        <v>4</v>
      </c>
      <c r="E25" s="11">
        <v>60.23</v>
      </c>
      <c r="F25" s="11">
        <f t="shared" si="0"/>
        <v>240.92</v>
      </c>
    </row>
    <row r="26" spans="1:6" ht="26.1" customHeight="1">
      <c r="A26" s="6" t="s">
        <v>572</v>
      </c>
      <c r="B26" s="12" t="s">
        <v>573</v>
      </c>
      <c r="C26" s="13" t="s">
        <v>574</v>
      </c>
      <c r="D26" s="6">
        <v>2</v>
      </c>
      <c r="E26" s="11">
        <v>34.950000000000003</v>
      </c>
      <c r="F26" s="11">
        <f t="shared" si="0"/>
        <v>69.900000000000006</v>
      </c>
    </row>
    <row r="27" spans="1:6" ht="21" customHeight="1">
      <c r="A27" s="6" t="s">
        <v>575</v>
      </c>
      <c r="B27" s="12" t="s">
        <v>576</v>
      </c>
      <c r="C27" s="13" t="s">
        <v>577</v>
      </c>
      <c r="D27" s="6">
        <v>4</v>
      </c>
      <c r="E27" s="11">
        <v>62.67</v>
      </c>
      <c r="F27" s="11">
        <f t="shared" si="0"/>
        <v>250.68</v>
      </c>
    </row>
    <row r="28" spans="1:6" ht="17.25" customHeight="1">
      <c r="A28" s="6" t="s">
        <v>578</v>
      </c>
      <c r="B28" s="12" t="s">
        <v>579</v>
      </c>
      <c r="C28" s="13" t="s">
        <v>529</v>
      </c>
      <c r="D28" s="6">
        <v>1</v>
      </c>
      <c r="E28" s="11">
        <v>70.7</v>
      </c>
      <c r="F28" s="11">
        <f t="shared" si="0"/>
        <v>70.7</v>
      </c>
    </row>
    <row r="29" spans="1:6" ht="17.25" customHeight="1">
      <c r="A29" s="6" t="s">
        <v>580</v>
      </c>
      <c r="B29" s="12" t="s">
        <v>581</v>
      </c>
      <c r="C29" s="13" t="s">
        <v>515</v>
      </c>
      <c r="D29" s="6">
        <v>4</v>
      </c>
      <c r="E29" s="11">
        <v>17.260000000000002</v>
      </c>
      <c r="F29" s="11">
        <f t="shared" si="0"/>
        <v>69.040000000000006</v>
      </c>
    </row>
    <row r="30" spans="1:6">
      <c r="A30" s="6">
        <v>27</v>
      </c>
      <c r="B30" s="12" t="s">
        <v>582</v>
      </c>
      <c r="C30" s="13" t="s">
        <v>515</v>
      </c>
      <c r="D30" s="6">
        <v>12</v>
      </c>
      <c r="E30" s="11">
        <v>22.88</v>
      </c>
      <c r="F30" s="11">
        <f t="shared" si="0"/>
        <v>274.56</v>
      </c>
    </row>
    <row r="31" spans="1:6">
      <c r="A31" s="378" t="s">
        <v>518</v>
      </c>
      <c r="B31" s="378"/>
      <c r="C31" s="378"/>
      <c r="D31" s="378"/>
      <c r="E31" s="378"/>
      <c r="F31" s="36">
        <f>SUM(F4:F30)</f>
        <v>22421.08</v>
      </c>
    </row>
    <row r="32" spans="1:6">
      <c r="A32" s="378" t="s">
        <v>583</v>
      </c>
      <c r="B32" s="378"/>
      <c r="C32" s="378"/>
      <c r="D32" s="378"/>
      <c r="E32" s="378"/>
      <c r="F32" s="85">
        <v>31</v>
      </c>
    </row>
    <row r="33" spans="1:7">
      <c r="A33" s="378" t="s">
        <v>584</v>
      </c>
      <c r="B33" s="378"/>
      <c r="C33" s="378"/>
      <c r="D33" s="378"/>
      <c r="E33" s="378"/>
      <c r="F33" s="36">
        <f>ROUND(F31/F32,2)</f>
        <v>723.26</v>
      </c>
      <c r="G33" s="24"/>
    </row>
    <row r="34" spans="1:7" ht="9" customHeight="1">
      <c r="B34" s="86"/>
      <c r="E34" s="87"/>
      <c r="F34" s="87"/>
    </row>
    <row r="35" spans="1:7" ht="9.6" customHeight="1">
      <c r="A35" s="380" t="s">
        <v>585</v>
      </c>
      <c r="B35" s="380"/>
      <c r="C35" s="380"/>
      <c r="D35" s="380"/>
      <c r="E35" s="380"/>
      <c r="F35" s="380"/>
    </row>
    <row r="36" spans="1:7" ht="5.45" customHeight="1">
      <c r="A36" s="380"/>
      <c r="B36" s="380"/>
      <c r="C36" s="380"/>
      <c r="D36" s="380"/>
      <c r="E36" s="380"/>
      <c r="F36" s="380"/>
    </row>
    <row r="37" spans="1:7" s="84" customFormat="1">
      <c r="A37" s="379" t="s">
        <v>586</v>
      </c>
      <c r="B37" s="379"/>
      <c r="C37" s="379"/>
      <c r="D37" s="379"/>
      <c r="E37" s="379"/>
      <c r="F37" s="379"/>
    </row>
    <row r="38" spans="1:7" ht="25.5">
      <c r="A38" s="2" t="s">
        <v>1</v>
      </c>
      <c r="B38" s="3" t="s">
        <v>2</v>
      </c>
      <c r="C38" s="3" t="s">
        <v>515</v>
      </c>
      <c r="D38" s="2" t="s">
        <v>516</v>
      </c>
      <c r="E38" s="4" t="s">
        <v>517</v>
      </c>
      <c r="F38" s="5" t="s">
        <v>518</v>
      </c>
    </row>
    <row r="39" spans="1:7">
      <c r="A39" s="6">
        <v>1</v>
      </c>
      <c r="B39" s="88" t="s">
        <v>587</v>
      </c>
      <c r="C39" s="13" t="s">
        <v>515</v>
      </c>
      <c r="D39" s="6">
        <v>12</v>
      </c>
      <c r="E39" s="10">
        <v>66</v>
      </c>
      <c r="F39" s="11">
        <f>E39*D39</f>
        <v>792</v>
      </c>
    </row>
    <row r="40" spans="1:7">
      <c r="A40" s="6">
        <v>2</v>
      </c>
      <c r="B40" s="88" t="s">
        <v>588</v>
      </c>
      <c r="C40" s="13" t="s">
        <v>515</v>
      </c>
      <c r="D40" s="6">
        <v>12</v>
      </c>
      <c r="E40" s="10">
        <v>51.02</v>
      </c>
      <c r="F40" s="11">
        <f t="shared" ref="F40:F57" si="1">E40*D40</f>
        <v>612.24</v>
      </c>
    </row>
    <row r="41" spans="1:7">
      <c r="A41" s="6">
        <v>3</v>
      </c>
      <c r="B41" s="89" t="s">
        <v>589</v>
      </c>
      <c r="C41" s="13" t="s">
        <v>515</v>
      </c>
      <c r="D41" s="6">
        <v>6</v>
      </c>
      <c r="E41" s="11">
        <v>138.77000000000001</v>
      </c>
      <c r="F41" s="11">
        <f t="shared" si="1"/>
        <v>832.62</v>
      </c>
    </row>
    <row r="42" spans="1:7">
      <c r="A42" s="6">
        <v>4</v>
      </c>
      <c r="B42" s="89" t="s">
        <v>590</v>
      </c>
      <c r="C42" s="13" t="s">
        <v>515</v>
      </c>
      <c r="D42" s="6">
        <v>6</v>
      </c>
      <c r="E42" s="11">
        <v>100.65</v>
      </c>
      <c r="F42" s="11">
        <f t="shared" si="1"/>
        <v>603.9</v>
      </c>
    </row>
    <row r="43" spans="1:7">
      <c r="A43" s="6">
        <v>5</v>
      </c>
      <c r="B43" s="89" t="s">
        <v>591</v>
      </c>
      <c r="C43" s="13" t="s">
        <v>515</v>
      </c>
      <c r="D43" s="6">
        <v>3</v>
      </c>
      <c r="E43" s="11">
        <v>5.16</v>
      </c>
      <c r="F43" s="11">
        <f t="shared" si="1"/>
        <v>15.48</v>
      </c>
    </row>
    <row r="44" spans="1:7">
      <c r="A44" s="6">
        <v>6</v>
      </c>
      <c r="B44" s="89" t="s">
        <v>592</v>
      </c>
      <c r="C44" s="13" t="s">
        <v>515</v>
      </c>
      <c r="D44" s="6">
        <v>3</v>
      </c>
      <c r="E44" s="11">
        <v>4.7699999999999996</v>
      </c>
      <c r="F44" s="11">
        <f t="shared" si="1"/>
        <v>14.31</v>
      </c>
    </row>
    <row r="45" spans="1:7" ht="17.100000000000001" customHeight="1">
      <c r="A45" s="6">
        <v>7</v>
      </c>
      <c r="B45" s="88" t="s">
        <v>593</v>
      </c>
      <c r="C45" s="13" t="s">
        <v>515</v>
      </c>
      <c r="D45" s="6">
        <v>5</v>
      </c>
      <c r="E45" s="11">
        <v>35.17</v>
      </c>
      <c r="F45" s="11">
        <f t="shared" si="1"/>
        <v>175.85</v>
      </c>
    </row>
    <row r="46" spans="1:7" ht="18" customHeight="1">
      <c r="A46" s="6">
        <v>8</v>
      </c>
      <c r="B46" s="88" t="s">
        <v>594</v>
      </c>
      <c r="C46" s="13" t="s">
        <v>515</v>
      </c>
      <c r="D46" s="6">
        <v>3</v>
      </c>
      <c r="E46" s="11">
        <v>5.9</v>
      </c>
      <c r="F46" s="11">
        <f t="shared" si="1"/>
        <v>17.7</v>
      </c>
    </row>
    <row r="47" spans="1:7">
      <c r="A47" s="6">
        <v>9</v>
      </c>
      <c r="B47" s="89" t="s">
        <v>595</v>
      </c>
      <c r="C47" s="13" t="s">
        <v>515</v>
      </c>
      <c r="D47" s="6">
        <v>36</v>
      </c>
      <c r="E47" s="11">
        <v>12.94</v>
      </c>
      <c r="F47" s="11">
        <f t="shared" si="1"/>
        <v>465.84</v>
      </c>
    </row>
    <row r="48" spans="1:7">
      <c r="A48" s="6">
        <v>10</v>
      </c>
      <c r="B48" s="89" t="s">
        <v>596</v>
      </c>
      <c r="C48" s="13" t="s">
        <v>515</v>
      </c>
      <c r="D48" s="6">
        <v>12</v>
      </c>
      <c r="E48" s="11">
        <v>25.57</v>
      </c>
      <c r="F48" s="11">
        <f t="shared" si="1"/>
        <v>306.83999999999997</v>
      </c>
    </row>
    <row r="49" spans="1:7">
      <c r="A49" s="6">
        <v>11</v>
      </c>
      <c r="B49" s="88" t="s">
        <v>597</v>
      </c>
      <c r="C49" s="90" t="s">
        <v>598</v>
      </c>
      <c r="D49" s="6">
        <v>2</v>
      </c>
      <c r="E49" s="11">
        <v>66.28</v>
      </c>
      <c r="F49" s="11">
        <f t="shared" si="1"/>
        <v>132.56</v>
      </c>
    </row>
    <row r="50" spans="1:7">
      <c r="A50" s="6">
        <v>12</v>
      </c>
      <c r="B50" s="91" t="s">
        <v>599</v>
      </c>
      <c r="C50" s="13" t="s">
        <v>515</v>
      </c>
      <c r="D50" s="6">
        <v>36</v>
      </c>
      <c r="E50" s="11">
        <v>23.63</v>
      </c>
      <c r="F50" s="11">
        <f t="shared" si="1"/>
        <v>850.68</v>
      </c>
    </row>
    <row r="51" spans="1:7">
      <c r="A51" s="6">
        <v>13</v>
      </c>
      <c r="B51" s="89" t="s">
        <v>600</v>
      </c>
      <c r="C51" s="13" t="s">
        <v>515</v>
      </c>
      <c r="D51" s="6">
        <v>36</v>
      </c>
      <c r="E51" s="11">
        <v>11.67</v>
      </c>
      <c r="F51" s="11">
        <f t="shared" si="1"/>
        <v>420.12</v>
      </c>
    </row>
    <row r="52" spans="1:7" ht="25.5">
      <c r="A52" s="6">
        <v>14</v>
      </c>
      <c r="B52" s="89" t="s">
        <v>601</v>
      </c>
      <c r="C52" s="13" t="s">
        <v>515</v>
      </c>
      <c r="D52" s="13">
        <v>48</v>
      </c>
      <c r="E52" s="10">
        <v>8.75</v>
      </c>
      <c r="F52" s="11">
        <f t="shared" si="1"/>
        <v>420</v>
      </c>
    </row>
    <row r="53" spans="1:7">
      <c r="A53" s="6">
        <v>15</v>
      </c>
      <c r="B53" s="89" t="s">
        <v>602</v>
      </c>
      <c r="C53" s="13" t="s">
        <v>515</v>
      </c>
      <c r="D53" s="6">
        <v>12</v>
      </c>
      <c r="E53" s="11">
        <v>8.35</v>
      </c>
      <c r="F53" s="11">
        <f t="shared" si="1"/>
        <v>100.2</v>
      </c>
    </row>
    <row r="54" spans="1:7">
      <c r="A54" s="6">
        <v>16</v>
      </c>
      <c r="B54" s="89" t="s">
        <v>603</v>
      </c>
      <c r="C54" s="13" t="s">
        <v>515</v>
      </c>
      <c r="D54" s="6">
        <v>24</v>
      </c>
      <c r="E54" s="11">
        <v>5.93</v>
      </c>
      <c r="F54" s="11">
        <f t="shared" si="1"/>
        <v>142.32</v>
      </c>
    </row>
    <row r="55" spans="1:7" ht="25.5">
      <c r="A55" s="6">
        <v>17</v>
      </c>
      <c r="B55" s="89" t="s">
        <v>604</v>
      </c>
      <c r="C55" s="13" t="s">
        <v>598</v>
      </c>
      <c r="D55" s="6">
        <v>48</v>
      </c>
      <c r="E55" s="11">
        <v>119.51</v>
      </c>
      <c r="F55" s="11">
        <f t="shared" si="1"/>
        <v>5736.48</v>
      </c>
    </row>
    <row r="56" spans="1:7">
      <c r="A56" s="6">
        <v>18</v>
      </c>
      <c r="B56" s="92" t="s">
        <v>605</v>
      </c>
      <c r="C56" s="13" t="s">
        <v>515</v>
      </c>
      <c r="D56" s="6">
        <v>24</v>
      </c>
      <c r="E56" s="93">
        <v>25.87</v>
      </c>
      <c r="F56" s="11">
        <f t="shared" si="1"/>
        <v>620.88</v>
      </c>
    </row>
    <row r="57" spans="1:7" ht="25.5">
      <c r="A57" s="6">
        <v>19</v>
      </c>
      <c r="B57" s="92" t="s">
        <v>606</v>
      </c>
      <c r="C57" s="13" t="s">
        <v>515</v>
      </c>
      <c r="D57" s="6">
        <v>3</v>
      </c>
      <c r="E57" s="93">
        <v>29.37</v>
      </c>
      <c r="F57" s="11">
        <f t="shared" si="1"/>
        <v>88.11</v>
      </c>
    </row>
    <row r="58" spans="1:7">
      <c r="A58" s="378"/>
      <c r="B58" s="378"/>
      <c r="C58" s="378"/>
      <c r="D58" s="378"/>
      <c r="E58" s="378"/>
      <c r="F58" s="36">
        <f>SUM(F39:F57)</f>
        <v>12348.13</v>
      </c>
    </row>
    <row r="59" spans="1:7">
      <c r="A59" s="378" t="s">
        <v>583</v>
      </c>
      <c r="B59" s="378"/>
      <c r="C59" s="378"/>
      <c r="D59" s="378"/>
      <c r="E59" s="378"/>
      <c r="F59" s="85">
        <v>31</v>
      </c>
    </row>
    <row r="60" spans="1:7">
      <c r="A60" s="378" t="s">
        <v>584</v>
      </c>
      <c r="B60" s="378"/>
      <c r="C60" s="378"/>
      <c r="D60" s="378"/>
      <c r="E60" s="378"/>
      <c r="F60" s="36">
        <f>ROUND((F58/F59)/12,2)</f>
        <v>33.19</v>
      </c>
      <c r="G60" s="24"/>
    </row>
    <row r="61" spans="1:7">
      <c r="A61" s="379" t="s">
        <v>607</v>
      </c>
      <c r="B61" s="379"/>
      <c r="C61" s="379"/>
      <c r="D61" s="379"/>
      <c r="E61" s="379"/>
      <c r="F61" s="379"/>
    </row>
    <row r="62" spans="1:7" ht="25.5">
      <c r="A62" s="2" t="s">
        <v>1</v>
      </c>
      <c r="B62" s="3" t="s">
        <v>2</v>
      </c>
      <c r="C62" s="3" t="s">
        <v>515</v>
      </c>
      <c r="D62" s="2" t="s">
        <v>516</v>
      </c>
      <c r="E62" s="4" t="s">
        <v>517</v>
      </c>
      <c r="F62" s="5" t="s">
        <v>518</v>
      </c>
    </row>
    <row r="63" spans="1:7">
      <c r="A63" s="6">
        <v>1</v>
      </c>
      <c r="B63" s="72" t="s">
        <v>608</v>
      </c>
      <c r="C63" s="13" t="s">
        <v>515</v>
      </c>
      <c r="D63" s="6">
        <v>6</v>
      </c>
      <c r="E63" s="10">
        <v>220.22</v>
      </c>
      <c r="F63" s="11">
        <f>E63*D63</f>
        <v>1321.32</v>
      </c>
    </row>
    <row r="64" spans="1:7" ht="51">
      <c r="A64" s="6">
        <v>2</v>
      </c>
      <c r="B64" s="72" t="s">
        <v>609</v>
      </c>
      <c r="C64" s="13" t="s">
        <v>515</v>
      </c>
      <c r="D64" s="6">
        <v>10</v>
      </c>
      <c r="E64" s="10">
        <v>25.28</v>
      </c>
      <c r="F64" s="11">
        <f t="shared" ref="F64:F69" si="2">E64*D64</f>
        <v>252.8</v>
      </c>
    </row>
    <row r="65" spans="1:7" ht="38.25">
      <c r="A65" s="6">
        <v>3</v>
      </c>
      <c r="B65" s="72" t="s">
        <v>610</v>
      </c>
      <c r="C65" s="13" t="s">
        <v>611</v>
      </c>
      <c r="D65" s="6">
        <v>25</v>
      </c>
      <c r="E65" s="10">
        <v>3.47</v>
      </c>
      <c r="F65" s="11">
        <f t="shared" si="2"/>
        <v>86.75</v>
      </c>
    </row>
    <row r="66" spans="1:7">
      <c r="A66" s="6">
        <v>4</v>
      </c>
      <c r="B66" s="72" t="s">
        <v>612</v>
      </c>
      <c r="C66" s="13" t="s">
        <v>613</v>
      </c>
      <c r="D66" s="6">
        <v>6</v>
      </c>
      <c r="E66" s="10">
        <v>9.44</v>
      </c>
      <c r="F66" s="11">
        <f t="shared" si="2"/>
        <v>56.64</v>
      </c>
    </row>
    <row r="67" spans="1:7">
      <c r="A67" s="6">
        <v>5</v>
      </c>
      <c r="B67" s="94" t="s">
        <v>614</v>
      </c>
      <c r="C67" s="13" t="s">
        <v>515</v>
      </c>
      <c r="D67" s="6">
        <v>5</v>
      </c>
      <c r="E67" s="11">
        <v>30.46</v>
      </c>
      <c r="F67" s="11">
        <f t="shared" si="2"/>
        <v>152.30000000000001</v>
      </c>
    </row>
    <row r="68" spans="1:7">
      <c r="A68" s="6">
        <v>6</v>
      </c>
      <c r="B68" s="72" t="s">
        <v>615</v>
      </c>
      <c r="C68" s="13" t="s">
        <v>515</v>
      </c>
      <c r="D68" s="6">
        <v>1</v>
      </c>
      <c r="E68" s="10">
        <v>249.79</v>
      </c>
      <c r="F68" s="11">
        <f t="shared" si="2"/>
        <v>249.79</v>
      </c>
    </row>
    <row r="69" spans="1:7">
      <c r="A69" s="6">
        <v>7</v>
      </c>
      <c r="B69" s="72" t="s">
        <v>616</v>
      </c>
      <c r="C69" s="13" t="s">
        <v>515</v>
      </c>
      <c r="D69" s="6">
        <v>2</v>
      </c>
      <c r="E69" s="10">
        <v>44.83</v>
      </c>
      <c r="F69" s="11">
        <f t="shared" si="2"/>
        <v>89.66</v>
      </c>
    </row>
    <row r="70" spans="1:7">
      <c r="A70" s="378" t="s">
        <v>518</v>
      </c>
      <c r="B70" s="378"/>
      <c r="C70" s="378"/>
      <c r="D70" s="378"/>
      <c r="E70" s="378"/>
      <c r="F70" s="36">
        <f>SUM(F63:F69)</f>
        <v>2209.2600000000002</v>
      </c>
    </row>
    <row r="71" spans="1:7">
      <c r="A71" s="378" t="s">
        <v>583</v>
      </c>
      <c r="B71" s="378"/>
      <c r="C71" s="378"/>
      <c r="D71" s="378"/>
      <c r="E71" s="378"/>
      <c r="F71" s="85">
        <v>7</v>
      </c>
    </row>
    <row r="72" spans="1:7">
      <c r="A72" s="378" t="s">
        <v>584</v>
      </c>
      <c r="B72" s="378"/>
      <c r="C72" s="378"/>
      <c r="D72" s="378"/>
      <c r="E72" s="378"/>
      <c r="F72" s="36">
        <f>ROUND((F70/F71)/12,2)</f>
        <v>26.3</v>
      </c>
    </row>
    <row r="73" spans="1:7">
      <c r="A73" s="378" t="s">
        <v>617</v>
      </c>
      <c r="B73" s="378"/>
      <c r="C73" s="378"/>
      <c r="D73" s="378"/>
      <c r="E73" s="378"/>
      <c r="F73" s="36">
        <f>F33+F60</f>
        <v>756.45</v>
      </c>
      <c r="G73" s="35">
        <f>F73/2</f>
        <v>378.22500000000002</v>
      </c>
    </row>
    <row r="74" spans="1:7">
      <c r="A74" s="378" t="s">
        <v>618</v>
      </c>
      <c r="B74" s="378"/>
      <c r="C74" s="378"/>
      <c r="D74" s="378"/>
      <c r="E74" s="378"/>
      <c r="F74" s="36">
        <f>F72+F60</f>
        <v>59.49</v>
      </c>
      <c r="G74" s="35">
        <f>F74/2</f>
        <v>29.745000000000001</v>
      </c>
    </row>
  </sheetData>
  <mergeCells count="15">
    <mergeCell ref="A72:E72"/>
    <mergeCell ref="A73:E73"/>
    <mergeCell ref="A74:E74"/>
    <mergeCell ref="A1:F2"/>
    <mergeCell ref="A35:F36"/>
    <mergeCell ref="A59:E59"/>
    <mergeCell ref="A60:E60"/>
    <mergeCell ref="A61:F61"/>
    <mergeCell ref="A70:E70"/>
    <mergeCell ref="A71:E71"/>
    <mergeCell ref="A31:E31"/>
    <mergeCell ref="A32:E32"/>
    <mergeCell ref="A33:E33"/>
    <mergeCell ref="A37:F37"/>
    <mergeCell ref="A58:E58"/>
  </mergeCells>
  <pageMargins left="0.75" right="0.75" top="1" bottom="1" header="0.51180555555555496" footer="0.51180555555555496"/>
  <pageSetup paperSize="9" scale="55" firstPageNumber="0" orientation="landscape" useFirstPageNumber="1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64"/>
  <sheetViews>
    <sheetView view="pageBreakPreview" topLeftCell="C43" zoomScaleNormal="100" workbookViewId="0">
      <selection activeCell="J74" sqref="J74"/>
    </sheetView>
  </sheetViews>
  <sheetFormatPr defaultColWidth="9" defaultRowHeight="15"/>
  <cols>
    <col min="1" max="1" width="6" style="1" customWidth="1"/>
    <col min="2" max="2" width="39.7109375" style="1" customWidth="1"/>
    <col min="3" max="3" width="9.85546875" style="1" customWidth="1"/>
    <col min="4" max="4" width="8.7109375" style="1" customWidth="1"/>
    <col min="5" max="5" width="12.5703125" style="1" customWidth="1"/>
    <col min="6" max="6" width="14" style="1" customWidth="1"/>
    <col min="7" max="7" width="9.7109375" style="1" customWidth="1"/>
    <col min="8" max="8" width="12.7109375" style="1" customWidth="1"/>
    <col min="9" max="9" width="13.5703125" style="1" customWidth="1"/>
    <col min="10" max="10" width="9.5703125" bestFit="1" customWidth="1"/>
    <col min="11" max="1025" width="14.42578125" customWidth="1"/>
  </cols>
  <sheetData>
    <row r="1" spans="1:6" ht="15" customHeight="1">
      <c r="A1" s="380" t="s">
        <v>619</v>
      </c>
      <c r="B1" s="380"/>
      <c r="C1" s="380"/>
      <c r="D1" s="380"/>
      <c r="E1" s="380"/>
      <c r="F1" s="380"/>
    </row>
    <row r="2" spans="1:6" ht="6.95" customHeight="1">
      <c r="A2" s="380"/>
      <c r="B2" s="380"/>
      <c r="C2" s="380"/>
      <c r="D2" s="380"/>
      <c r="E2" s="380"/>
      <c r="F2" s="380"/>
    </row>
    <row r="3" spans="1:6">
      <c r="A3" s="379" t="s">
        <v>607</v>
      </c>
      <c r="B3" s="379"/>
      <c r="C3" s="379"/>
      <c r="D3" s="379"/>
      <c r="E3" s="379"/>
      <c r="F3" s="379"/>
    </row>
    <row r="4" spans="1:6" ht="25.5">
      <c r="A4" s="2" t="s">
        <v>1</v>
      </c>
      <c r="B4" s="3" t="s">
        <v>2</v>
      </c>
      <c r="C4" s="3" t="s">
        <v>515</v>
      </c>
      <c r="D4" s="2" t="s">
        <v>516</v>
      </c>
      <c r="E4" s="4" t="s">
        <v>517</v>
      </c>
      <c r="F4" s="5" t="s">
        <v>518</v>
      </c>
    </row>
    <row r="5" spans="1:6" ht="17.100000000000001" customHeight="1">
      <c r="A5" s="38" t="s">
        <v>519</v>
      </c>
      <c r="B5" s="39" t="s">
        <v>620</v>
      </c>
      <c r="C5" s="40" t="s">
        <v>515</v>
      </c>
      <c r="D5" s="40">
        <v>1</v>
      </c>
      <c r="E5" s="25" t="s">
        <v>621</v>
      </c>
      <c r="F5" s="41">
        <f>E5*D5</f>
        <v>70.86</v>
      </c>
    </row>
    <row r="6" spans="1:6" ht="15" customHeight="1">
      <c r="A6" s="38" t="s">
        <v>522</v>
      </c>
      <c r="B6" s="39" t="s">
        <v>622</v>
      </c>
      <c r="C6" s="40" t="s">
        <v>515</v>
      </c>
      <c r="D6" s="40">
        <v>1</v>
      </c>
      <c r="E6" s="25" t="s">
        <v>623</v>
      </c>
      <c r="F6" s="41">
        <f t="shared" ref="F6:F15" si="0">E6*D6</f>
        <v>101.88</v>
      </c>
    </row>
    <row r="7" spans="1:6" ht="16.899999999999999" customHeight="1">
      <c r="A7" s="38" t="s">
        <v>524</v>
      </c>
      <c r="B7" s="39" t="s">
        <v>624</v>
      </c>
      <c r="C7" s="40" t="s">
        <v>515</v>
      </c>
      <c r="D7" s="40">
        <v>1</v>
      </c>
      <c r="E7" s="25" t="s">
        <v>625</v>
      </c>
      <c r="F7" s="41">
        <f t="shared" si="0"/>
        <v>70.64</v>
      </c>
    </row>
    <row r="8" spans="1:6">
      <c r="A8" s="38" t="s">
        <v>527</v>
      </c>
      <c r="B8" s="42" t="s">
        <v>626</v>
      </c>
      <c r="C8" s="40" t="s">
        <v>515</v>
      </c>
      <c r="D8" s="40">
        <v>1</v>
      </c>
      <c r="E8" s="25" t="s">
        <v>627</v>
      </c>
      <c r="F8" s="41">
        <f t="shared" si="0"/>
        <v>59.8</v>
      </c>
    </row>
    <row r="9" spans="1:6">
      <c r="A9" s="38" t="s">
        <v>530</v>
      </c>
      <c r="B9" s="39" t="s">
        <v>628</v>
      </c>
      <c r="C9" s="40" t="s">
        <v>515</v>
      </c>
      <c r="D9" s="40">
        <v>1</v>
      </c>
      <c r="E9" s="25" t="s">
        <v>629</v>
      </c>
      <c r="F9" s="41">
        <f t="shared" si="0"/>
        <v>149.69999999999999</v>
      </c>
    </row>
    <row r="10" spans="1:6" ht="53.1" customHeight="1">
      <c r="A10" s="38" t="s">
        <v>532</v>
      </c>
      <c r="B10" s="43" t="s">
        <v>630</v>
      </c>
      <c r="C10" s="40" t="s">
        <v>515</v>
      </c>
      <c r="D10" s="40">
        <v>1</v>
      </c>
      <c r="E10" s="44">
        <v>40.520000000000003</v>
      </c>
      <c r="F10" s="41">
        <f t="shared" si="0"/>
        <v>40.520000000000003</v>
      </c>
    </row>
    <row r="11" spans="1:6" ht="57" customHeight="1">
      <c r="A11" s="38" t="s">
        <v>534</v>
      </c>
      <c r="B11" s="43" t="s">
        <v>631</v>
      </c>
      <c r="C11" s="40" t="s">
        <v>515</v>
      </c>
      <c r="D11" s="40">
        <v>1</v>
      </c>
      <c r="E11" s="25" t="s">
        <v>632</v>
      </c>
      <c r="F11" s="41">
        <f t="shared" si="0"/>
        <v>52.45</v>
      </c>
    </row>
    <row r="12" spans="1:6" ht="39.950000000000003" customHeight="1">
      <c r="A12" s="38" t="s">
        <v>536</v>
      </c>
      <c r="B12" s="43" t="s">
        <v>633</v>
      </c>
      <c r="C12" s="40" t="s">
        <v>515</v>
      </c>
      <c r="D12" s="40">
        <v>1</v>
      </c>
      <c r="E12" s="25" t="s">
        <v>634</v>
      </c>
      <c r="F12" s="41">
        <f t="shared" si="0"/>
        <v>19.13</v>
      </c>
    </row>
    <row r="13" spans="1:6" ht="24" customHeight="1">
      <c r="A13" s="38" t="s">
        <v>538</v>
      </c>
      <c r="B13" s="43" t="s">
        <v>635</v>
      </c>
      <c r="C13" s="40" t="s">
        <v>515</v>
      </c>
      <c r="D13" s="40">
        <v>1</v>
      </c>
      <c r="E13" s="25" t="s">
        <v>636</v>
      </c>
      <c r="F13" s="41">
        <f t="shared" si="0"/>
        <v>34.35</v>
      </c>
    </row>
    <row r="14" spans="1:6" ht="26.25">
      <c r="A14" s="38" t="s">
        <v>540</v>
      </c>
      <c r="B14" s="43" t="s">
        <v>637</v>
      </c>
      <c r="C14" s="40" t="s">
        <v>515</v>
      </c>
      <c r="D14" s="40">
        <v>1</v>
      </c>
      <c r="E14" s="25" t="s">
        <v>638</v>
      </c>
      <c r="F14" s="41">
        <f t="shared" si="0"/>
        <v>38.6</v>
      </c>
    </row>
    <row r="15" spans="1:6">
      <c r="A15" s="38" t="s">
        <v>542</v>
      </c>
      <c r="B15" s="43" t="s">
        <v>639</v>
      </c>
      <c r="C15" s="40" t="s">
        <v>515</v>
      </c>
      <c r="D15" s="40">
        <v>1</v>
      </c>
      <c r="E15" s="25" t="s">
        <v>640</v>
      </c>
      <c r="F15" s="41">
        <f t="shared" si="0"/>
        <v>18.59</v>
      </c>
    </row>
    <row r="16" spans="1:6">
      <c r="A16" s="381" t="s">
        <v>518</v>
      </c>
      <c r="B16" s="382"/>
      <c r="C16" s="382"/>
      <c r="D16" s="382"/>
      <c r="E16" s="383"/>
      <c r="F16" s="45">
        <f>SUM(F5:F15)</f>
        <v>656.52</v>
      </c>
    </row>
    <row r="17" spans="1:9">
      <c r="A17" s="381" t="s">
        <v>584</v>
      </c>
      <c r="B17" s="384"/>
      <c r="C17" s="384"/>
      <c r="D17" s="384"/>
      <c r="E17" s="385"/>
      <c r="F17" s="45">
        <f>ROUND(F16/12,2)</f>
        <v>54.71</v>
      </c>
      <c r="G17" s="46"/>
    </row>
    <row r="18" spans="1:9" ht="9" customHeight="1"/>
    <row r="19" spans="1:9" ht="9.9499999999999993" customHeight="1">
      <c r="A19" s="380" t="s">
        <v>641</v>
      </c>
      <c r="B19" s="380"/>
      <c r="C19" s="380"/>
      <c r="D19" s="380"/>
      <c r="E19" s="380"/>
      <c r="F19" s="380"/>
    </row>
    <row r="20" spans="1:9" ht="9.9499999999999993" customHeight="1">
      <c r="A20" s="380"/>
      <c r="B20" s="380"/>
      <c r="C20" s="380"/>
      <c r="D20" s="380"/>
      <c r="E20" s="380"/>
      <c r="F20" s="380"/>
    </row>
    <row r="21" spans="1:9" ht="15" customHeight="1">
      <c r="A21" s="386" t="s">
        <v>493</v>
      </c>
      <c r="B21" s="387"/>
      <c r="C21" s="387"/>
      <c r="D21" s="387"/>
      <c r="E21" s="387"/>
      <c r="F21" s="388"/>
    </row>
    <row r="22" spans="1:9" ht="12" customHeight="1">
      <c r="A22" s="2" t="s">
        <v>1</v>
      </c>
      <c r="B22" s="3" t="s">
        <v>2</v>
      </c>
      <c r="C22" s="3" t="s">
        <v>515</v>
      </c>
      <c r="D22" s="2" t="s">
        <v>516</v>
      </c>
      <c r="E22" s="4" t="s">
        <v>517</v>
      </c>
      <c r="F22" s="5" t="s">
        <v>518</v>
      </c>
    </row>
    <row r="23" spans="1:9" ht="14.1" customHeight="1">
      <c r="A23" s="38">
        <v>1</v>
      </c>
      <c r="B23" s="47" t="s">
        <v>642</v>
      </c>
      <c r="C23" s="48" t="s">
        <v>643</v>
      </c>
      <c r="D23" s="38">
        <v>10</v>
      </c>
      <c r="E23" s="49">
        <v>131.1</v>
      </c>
      <c r="F23" s="49">
        <f>E23*D23</f>
        <v>1311</v>
      </c>
    </row>
    <row r="24" spans="1:9" ht="14.1" customHeight="1">
      <c r="A24" s="26">
        <v>2</v>
      </c>
      <c r="B24" s="22" t="s">
        <v>644</v>
      </c>
      <c r="C24" s="25" t="s">
        <v>645</v>
      </c>
      <c r="D24" s="26">
        <v>1</v>
      </c>
      <c r="E24" s="49">
        <v>32.97</v>
      </c>
      <c r="F24" s="49">
        <f>E24*D24</f>
        <v>32.97</v>
      </c>
    </row>
    <row r="25" spans="1:9" ht="12" customHeight="1">
      <c r="A25" s="381" t="s">
        <v>518</v>
      </c>
      <c r="B25" s="384"/>
      <c r="C25" s="384"/>
      <c r="D25" s="384"/>
      <c r="E25" s="385"/>
      <c r="F25" s="45">
        <f>SUM(F23:F24)</f>
        <v>1343.97</v>
      </c>
    </row>
    <row r="26" spans="1:9" ht="12" customHeight="1">
      <c r="A26" s="381" t="s">
        <v>583</v>
      </c>
      <c r="B26" s="384"/>
      <c r="C26" s="384"/>
      <c r="D26" s="384"/>
      <c r="E26" s="385"/>
      <c r="F26" s="50">
        <v>3</v>
      </c>
    </row>
    <row r="27" spans="1:9" ht="12" customHeight="1">
      <c r="A27" s="381" t="s">
        <v>584</v>
      </c>
      <c r="B27" s="384"/>
      <c r="C27" s="384"/>
      <c r="D27" s="384"/>
      <c r="E27" s="385"/>
      <c r="F27" s="45">
        <f>ROUND((F25/F26)/12,2)</f>
        <v>37.33</v>
      </c>
      <c r="G27" s="46"/>
    </row>
    <row r="28" spans="1:9" ht="12" customHeight="1"/>
    <row r="29" spans="1:9" ht="12" customHeight="1">
      <c r="A29" s="389" t="s">
        <v>646</v>
      </c>
      <c r="B29" s="390"/>
      <c r="C29" s="390"/>
      <c r="D29" s="390"/>
      <c r="E29" s="390"/>
      <c r="F29" s="390"/>
      <c r="G29" s="390"/>
      <c r="H29" s="390"/>
      <c r="I29" s="391"/>
    </row>
    <row r="30" spans="1:9" ht="12" customHeight="1">
      <c r="A30" s="381" t="s">
        <v>647</v>
      </c>
      <c r="B30" s="390"/>
      <c r="C30" s="390"/>
      <c r="D30" s="390"/>
      <c r="E30" s="390"/>
      <c r="F30" s="390"/>
      <c r="G30" s="390"/>
      <c r="H30" s="390"/>
      <c r="I30" s="391"/>
    </row>
    <row r="31" spans="1:9" ht="12" customHeight="1">
      <c r="A31" s="50" t="s">
        <v>1</v>
      </c>
      <c r="B31" s="50" t="s">
        <v>2</v>
      </c>
      <c r="C31" s="50" t="s">
        <v>515</v>
      </c>
      <c r="D31" s="50" t="s">
        <v>516</v>
      </c>
      <c r="E31" s="51" t="s">
        <v>517</v>
      </c>
      <c r="F31" s="52" t="s">
        <v>518</v>
      </c>
      <c r="G31" s="53" t="s">
        <v>648</v>
      </c>
      <c r="H31" s="54" t="s">
        <v>649</v>
      </c>
      <c r="I31" s="54" t="s">
        <v>650</v>
      </c>
    </row>
    <row r="32" spans="1:9" ht="12" customHeight="1">
      <c r="A32" s="55" t="s">
        <v>68</v>
      </c>
      <c r="B32" s="39" t="s">
        <v>651</v>
      </c>
      <c r="C32" s="40" t="s">
        <v>515</v>
      </c>
      <c r="D32" s="56">
        <v>3</v>
      </c>
      <c r="E32" s="57">
        <v>1505.41</v>
      </c>
      <c r="F32" s="57">
        <f>E32*D32</f>
        <v>4516.2299999999996</v>
      </c>
      <c r="G32" s="40">
        <v>60</v>
      </c>
      <c r="H32" s="57">
        <f>ROUND(F32*0.8,2)</f>
        <v>3612.98</v>
      </c>
      <c r="I32" s="57">
        <f>ROUND(H32/G32,2)</f>
        <v>60.22</v>
      </c>
    </row>
    <row r="33" spans="1:10" ht="12" customHeight="1">
      <c r="A33" s="392" t="s">
        <v>389</v>
      </c>
      <c r="B33" s="390"/>
      <c r="C33" s="390"/>
      <c r="D33" s="390"/>
      <c r="E33" s="391"/>
      <c r="F33" s="58">
        <f>SUM(F32:F32)</f>
        <v>4516.2299999999996</v>
      </c>
      <c r="G33" s="393"/>
      <c r="H33" s="391"/>
      <c r="I33" s="73">
        <f>SUM(I32:I32)</f>
        <v>60.22</v>
      </c>
    </row>
    <row r="34" spans="1:10" ht="12" customHeight="1">
      <c r="A34" s="381" t="s">
        <v>583</v>
      </c>
      <c r="B34" s="390"/>
      <c r="C34" s="390"/>
      <c r="D34" s="390"/>
      <c r="E34" s="390"/>
      <c r="F34" s="390"/>
      <c r="G34" s="390"/>
      <c r="H34" s="391"/>
      <c r="I34" s="74">
        <v>42</v>
      </c>
    </row>
    <row r="35" spans="1:10" ht="12" customHeight="1">
      <c r="A35" s="381" t="s">
        <v>584</v>
      </c>
      <c r="B35" s="390"/>
      <c r="C35" s="390"/>
      <c r="D35" s="390"/>
      <c r="E35" s="390"/>
      <c r="F35" s="390"/>
      <c r="G35" s="390"/>
      <c r="H35" s="391"/>
      <c r="I35" s="73">
        <f>ROUND(I33/I34,2)</f>
        <v>1.43</v>
      </c>
      <c r="J35" s="75"/>
    </row>
    <row r="36" spans="1:10" ht="12" customHeight="1"/>
    <row r="37" spans="1:10" ht="15" customHeight="1">
      <c r="A37" s="380" t="s">
        <v>652</v>
      </c>
      <c r="B37" s="380"/>
      <c r="C37" s="380"/>
      <c r="D37" s="380"/>
      <c r="E37" s="380"/>
      <c r="F37" s="380"/>
      <c r="G37" s="380"/>
      <c r="H37" s="380"/>
      <c r="I37" s="380"/>
    </row>
    <row r="38" spans="1:10" s="37" customFormat="1">
      <c r="A38" s="394" t="s">
        <v>653</v>
      </c>
      <c r="B38" s="394"/>
      <c r="C38" s="394"/>
      <c r="D38" s="394"/>
      <c r="E38" s="394"/>
      <c r="F38" s="394"/>
      <c r="G38" s="394"/>
      <c r="H38" s="394"/>
      <c r="I38" s="394"/>
    </row>
    <row r="39" spans="1:10" s="37" customFormat="1" ht="39">
      <c r="A39" s="2" t="s">
        <v>1</v>
      </c>
      <c r="B39" s="2" t="s">
        <v>2</v>
      </c>
      <c r="C39" s="2" t="s">
        <v>515</v>
      </c>
      <c r="D39" s="2" t="s">
        <v>516</v>
      </c>
      <c r="E39" s="4" t="s">
        <v>517</v>
      </c>
      <c r="F39" s="5" t="s">
        <v>518</v>
      </c>
      <c r="G39" s="59" t="s">
        <v>648</v>
      </c>
      <c r="H39" s="60" t="s">
        <v>649</v>
      </c>
      <c r="I39" s="60" t="s">
        <v>650</v>
      </c>
    </row>
    <row r="40" spans="1:10" s="37" customFormat="1">
      <c r="A40" s="61" t="s">
        <v>68</v>
      </c>
      <c r="B40" s="62" t="s">
        <v>654</v>
      </c>
      <c r="C40" s="63" t="s">
        <v>515</v>
      </c>
      <c r="D40" s="63">
        <v>2</v>
      </c>
      <c r="E40" s="64">
        <v>144.01</v>
      </c>
      <c r="F40" s="64">
        <f>E40*D40</f>
        <v>288.02</v>
      </c>
      <c r="G40" s="63">
        <v>60</v>
      </c>
      <c r="H40" s="64">
        <f>ROUND(F40*0.8,2)</f>
        <v>230.42</v>
      </c>
      <c r="I40" s="64">
        <f>ROUND(H40/G40,2)</f>
        <v>3.84</v>
      </c>
    </row>
    <row r="41" spans="1:10" s="37" customFormat="1" ht="13.9" customHeight="1">
      <c r="A41" s="395" t="s">
        <v>389</v>
      </c>
      <c r="B41" s="395"/>
      <c r="C41" s="395"/>
      <c r="D41" s="395"/>
      <c r="E41" s="395"/>
      <c r="F41" s="65">
        <f>SUM(F40:F40)</f>
        <v>288.02</v>
      </c>
      <c r="G41" s="66"/>
      <c r="H41" s="65"/>
      <c r="I41" s="76">
        <f>SUM(I40:I40)</f>
        <v>3.84</v>
      </c>
    </row>
    <row r="42" spans="1:10" s="37" customFormat="1" ht="13.9" customHeight="1">
      <c r="A42" s="380" t="s">
        <v>583</v>
      </c>
      <c r="B42" s="380"/>
      <c r="C42" s="380"/>
      <c r="D42" s="380"/>
      <c r="E42" s="380"/>
      <c r="F42" s="380"/>
      <c r="G42" s="380"/>
      <c r="H42" s="380"/>
      <c r="I42" s="77">
        <v>31</v>
      </c>
    </row>
    <row r="43" spans="1:10" s="37" customFormat="1" ht="13.9" customHeight="1">
      <c r="A43" s="380" t="s">
        <v>584</v>
      </c>
      <c r="B43" s="380"/>
      <c r="C43" s="380"/>
      <c r="D43" s="380"/>
      <c r="E43" s="380"/>
      <c r="F43" s="380"/>
      <c r="G43" s="380"/>
      <c r="H43" s="380"/>
      <c r="I43" s="78">
        <f>ROUND(I41/I42,2)</f>
        <v>0.12</v>
      </c>
      <c r="J43" s="79"/>
    </row>
    <row r="44" spans="1:10" s="37" customFormat="1" ht="13.9" customHeight="1">
      <c r="A44" s="396"/>
      <c r="B44" s="397"/>
      <c r="C44" s="397"/>
      <c r="D44" s="397"/>
      <c r="E44" s="397"/>
      <c r="F44" s="397"/>
      <c r="G44" s="397"/>
      <c r="H44" s="397"/>
      <c r="I44" s="398"/>
    </row>
    <row r="45" spans="1:10">
      <c r="A45" s="394" t="s">
        <v>607</v>
      </c>
      <c r="B45" s="394"/>
      <c r="C45" s="394"/>
      <c r="D45" s="394"/>
      <c r="E45" s="394"/>
      <c r="F45" s="394"/>
      <c r="G45" s="394"/>
      <c r="H45" s="394"/>
      <c r="I45" s="394"/>
    </row>
    <row r="46" spans="1:10" ht="39">
      <c r="A46" s="2" t="s">
        <v>1</v>
      </c>
      <c r="B46" s="2" t="s">
        <v>2</v>
      </c>
      <c r="C46" s="2" t="s">
        <v>515</v>
      </c>
      <c r="D46" s="2" t="s">
        <v>516</v>
      </c>
      <c r="E46" s="4" t="s">
        <v>517</v>
      </c>
      <c r="F46" s="5" t="s">
        <v>518</v>
      </c>
      <c r="G46" s="59" t="s">
        <v>648</v>
      </c>
      <c r="H46" s="60" t="s">
        <v>649</v>
      </c>
      <c r="I46" s="60" t="s">
        <v>650</v>
      </c>
    </row>
    <row r="47" spans="1:10" ht="42.6" customHeight="1">
      <c r="A47" s="6">
        <v>1</v>
      </c>
      <c r="B47" s="67" t="s">
        <v>655</v>
      </c>
      <c r="C47" s="6" t="s">
        <v>515</v>
      </c>
      <c r="D47" s="68">
        <v>1</v>
      </c>
      <c r="E47" s="21">
        <v>1591.08</v>
      </c>
      <c r="F47" s="11">
        <f>D47*E47</f>
        <v>1591.08</v>
      </c>
      <c r="G47" s="6">
        <v>60</v>
      </c>
      <c r="H47" s="11">
        <f>ROUND(F47*0.8,2)</f>
        <v>1272.8599999999999</v>
      </c>
      <c r="I47" s="11">
        <f>ROUND(H47/G47,2)</f>
        <v>21.21</v>
      </c>
    </row>
    <row r="48" spans="1:10">
      <c r="A48" s="6">
        <v>2</v>
      </c>
      <c r="B48" s="62" t="s">
        <v>656</v>
      </c>
      <c r="C48" s="6" t="s">
        <v>515</v>
      </c>
      <c r="D48" s="6">
        <v>4</v>
      </c>
      <c r="E48" s="21">
        <v>167.95</v>
      </c>
      <c r="F48" s="11">
        <f>D48*E48</f>
        <v>671.8</v>
      </c>
      <c r="G48" s="6">
        <v>60</v>
      </c>
      <c r="H48" s="11">
        <f>ROUND(F48*0.8,2)</f>
        <v>537.44000000000005</v>
      </c>
      <c r="I48" s="11">
        <f>ROUND(H48/G48,2)</f>
        <v>8.9600000000000009</v>
      </c>
    </row>
    <row r="49" spans="1:10" ht="15" customHeight="1">
      <c r="A49" s="69">
        <v>3</v>
      </c>
      <c r="B49" s="70" t="s">
        <v>657</v>
      </c>
      <c r="C49" s="6" t="s">
        <v>515</v>
      </c>
      <c r="D49" s="71">
        <v>4</v>
      </c>
      <c r="E49" s="21">
        <v>416.42</v>
      </c>
      <c r="F49" s="11">
        <f>D49*E49</f>
        <v>1665.68</v>
      </c>
      <c r="G49" s="6">
        <v>60</v>
      </c>
      <c r="H49" s="11">
        <f>ROUND(F49*0.8,2)</f>
        <v>1332.54</v>
      </c>
      <c r="I49" s="11">
        <f>ROUND(H49/G49,2)</f>
        <v>22.21</v>
      </c>
    </row>
    <row r="50" spans="1:10" ht="15" customHeight="1">
      <c r="A50" s="69">
        <v>4</v>
      </c>
      <c r="B50" s="72" t="s">
        <v>658</v>
      </c>
      <c r="C50" s="6" t="s">
        <v>515</v>
      </c>
      <c r="D50" s="71">
        <v>2</v>
      </c>
      <c r="E50" s="21">
        <v>568.29999999999995</v>
      </c>
      <c r="F50" s="11">
        <f>D50*E50</f>
        <v>1136.5999999999999</v>
      </c>
      <c r="G50" s="6">
        <v>60</v>
      </c>
      <c r="H50" s="11">
        <f>ROUND(F50*0.8,2)</f>
        <v>909.28</v>
      </c>
      <c r="I50" s="11">
        <f>ROUND(H50/G50,2)</f>
        <v>15.15</v>
      </c>
    </row>
    <row r="51" spans="1:10" ht="15" customHeight="1">
      <c r="A51" s="395" t="s">
        <v>389</v>
      </c>
      <c r="B51" s="395"/>
      <c r="C51" s="395"/>
      <c r="D51" s="395"/>
      <c r="E51" s="395"/>
      <c r="F51" s="65">
        <f>SUM(F47:F50)</f>
        <v>5065.16</v>
      </c>
      <c r="G51" s="66"/>
      <c r="H51" s="65"/>
      <c r="I51" s="76">
        <f>SUM(I47:I50)</f>
        <v>67.53</v>
      </c>
    </row>
    <row r="52" spans="1:10" ht="15" customHeight="1">
      <c r="A52" s="380" t="s">
        <v>583</v>
      </c>
      <c r="B52" s="380"/>
      <c r="C52" s="380"/>
      <c r="D52" s="380"/>
      <c r="E52" s="380"/>
      <c r="F52" s="380"/>
      <c r="G52" s="380"/>
      <c r="H52" s="380"/>
      <c r="I52" s="80">
        <v>7</v>
      </c>
    </row>
    <row r="53" spans="1:10" ht="15" customHeight="1">
      <c r="A53" s="380" t="s">
        <v>584</v>
      </c>
      <c r="B53" s="380"/>
      <c r="C53" s="380"/>
      <c r="D53" s="380"/>
      <c r="E53" s="380"/>
      <c r="F53" s="380"/>
      <c r="G53" s="380"/>
      <c r="H53" s="380"/>
      <c r="I53" s="78">
        <f>ROUND(I51/I52,2)</f>
        <v>9.65</v>
      </c>
      <c r="J53" s="24"/>
    </row>
    <row r="54" spans="1:10" ht="15" customHeight="1">
      <c r="A54" s="396"/>
      <c r="B54" s="397"/>
      <c r="C54" s="397"/>
      <c r="D54" s="397"/>
      <c r="E54" s="397"/>
      <c r="F54" s="397"/>
      <c r="G54" s="397"/>
      <c r="H54" s="397"/>
      <c r="I54" s="398"/>
    </row>
    <row r="55" spans="1:10">
      <c r="A55" s="394" t="s">
        <v>493</v>
      </c>
      <c r="B55" s="394"/>
      <c r="C55" s="394"/>
      <c r="D55" s="394"/>
      <c r="E55" s="394"/>
      <c r="F55" s="394"/>
      <c r="G55" s="394"/>
      <c r="H55" s="394"/>
      <c r="I55" s="394"/>
    </row>
    <row r="56" spans="1:10" ht="39">
      <c r="A56" s="2" t="s">
        <v>1</v>
      </c>
      <c r="B56" s="2" t="s">
        <v>2</v>
      </c>
      <c r="C56" s="2" t="s">
        <v>515</v>
      </c>
      <c r="D56" s="2" t="s">
        <v>516</v>
      </c>
      <c r="E56" s="4" t="s">
        <v>517</v>
      </c>
      <c r="F56" s="5" t="s">
        <v>518</v>
      </c>
      <c r="G56" s="59" t="s">
        <v>648</v>
      </c>
      <c r="H56" s="60" t="s">
        <v>649</v>
      </c>
      <c r="I56" s="60" t="s">
        <v>650</v>
      </c>
    </row>
    <row r="57" spans="1:10" ht="25.5">
      <c r="A57" s="6">
        <v>1</v>
      </c>
      <c r="B57" s="12" t="s">
        <v>659</v>
      </c>
      <c r="C57" s="6" t="s">
        <v>515</v>
      </c>
      <c r="D57" s="6">
        <v>3</v>
      </c>
      <c r="E57" s="21">
        <v>805.14</v>
      </c>
      <c r="F57" s="11">
        <f>E57*D57</f>
        <v>2415.42</v>
      </c>
      <c r="G57" s="6">
        <v>60</v>
      </c>
      <c r="H57" s="11">
        <f>ROUND(F57*0.8,2)</f>
        <v>1932.34</v>
      </c>
      <c r="I57" s="11">
        <f>ROUND(H57/G57,2)</f>
        <v>32.21</v>
      </c>
    </row>
    <row r="58" spans="1:10" ht="15" customHeight="1">
      <c r="A58" s="395" t="s">
        <v>389</v>
      </c>
      <c r="B58" s="395"/>
      <c r="C58" s="395"/>
      <c r="D58" s="395"/>
      <c r="E58" s="395"/>
      <c r="F58" s="65">
        <f>SUM(F57:F57)</f>
        <v>2415.42</v>
      </c>
      <c r="G58" s="66"/>
      <c r="H58" s="65"/>
      <c r="I58" s="76">
        <f>SUM(I57:KI57)</f>
        <v>32.21</v>
      </c>
    </row>
    <row r="59" spans="1:10" ht="15" customHeight="1">
      <c r="A59" s="380" t="s">
        <v>583</v>
      </c>
      <c r="B59" s="380"/>
      <c r="C59" s="380"/>
      <c r="D59" s="380"/>
      <c r="E59" s="380"/>
      <c r="F59" s="380"/>
      <c r="G59" s="380"/>
      <c r="H59" s="380"/>
      <c r="I59" s="77">
        <v>3</v>
      </c>
    </row>
    <row r="60" spans="1:10" ht="15" customHeight="1">
      <c r="A60" s="380" t="s">
        <v>584</v>
      </c>
      <c r="B60" s="380"/>
      <c r="C60" s="380"/>
      <c r="D60" s="380"/>
      <c r="E60" s="380"/>
      <c r="F60" s="380"/>
      <c r="G60" s="380"/>
      <c r="H60" s="380"/>
      <c r="I60" s="78">
        <f>ROUND(I58/I59,2)</f>
        <v>10.74</v>
      </c>
    </row>
    <row r="61" spans="1:10" ht="15" customHeight="1">
      <c r="A61" s="380" t="s">
        <v>617</v>
      </c>
      <c r="B61" s="380"/>
      <c r="C61" s="380"/>
      <c r="D61" s="380"/>
      <c r="E61" s="380"/>
      <c r="F61" s="380"/>
      <c r="G61" s="380"/>
      <c r="H61" s="380"/>
      <c r="I61" s="81">
        <f>I43+I35</f>
        <v>1.55</v>
      </c>
      <c r="J61" s="82">
        <f>I61/2</f>
        <v>0.77500000000000002</v>
      </c>
    </row>
    <row r="62" spans="1:10" ht="15" customHeight="1">
      <c r="A62" s="380" t="s">
        <v>618</v>
      </c>
      <c r="B62" s="380"/>
      <c r="C62" s="380"/>
      <c r="D62" s="380"/>
      <c r="E62" s="380"/>
      <c r="F62" s="380"/>
      <c r="G62" s="380"/>
      <c r="H62" s="380"/>
      <c r="I62" s="78">
        <f>I53+F17+I35</f>
        <v>65.790000000000006</v>
      </c>
      <c r="J62" s="82">
        <f>I62/2</f>
        <v>32.895000000000003</v>
      </c>
    </row>
    <row r="63" spans="1:10" ht="15" customHeight="1">
      <c r="A63" s="380" t="s">
        <v>660</v>
      </c>
      <c r="B63" s="380"/>
      <c r="C63" s="380"/>
      <c r="D63" s="380"/>
      <c r="E63" s="380"/>
      <c r="F63" s="380"/>
      <c r="G63" s="380"/>
      <c r="H63" s="380"/>
      <c r="I63" s="83">
        <f>F27+I60+I35</f>
        <v>49.5</v>
      </c>
      <c r="J63" s="82">
        <f>I63/2</f>
        <v>24.75</v>
      </c>
    </row>
    <row r="64" spans="1:10">
      <c r="A64" s="380" t="s">
        <v>661</v>
      </c>
      <c r="B64" s="380"/>
      <c r="C64" s="380"/>
      <c r="D64" s="380"/>
      <c r="E64" s="380"/>
      <c r="F64" s="380"/>
      <c r="G64" s="380"/>
      <c r="H64" s="380"/>
      <c r="I64" s="83">
        <f>I35</f>
        <v>1.43</v>
      </c>
      <c r="J64" s="82">
        <f>I64/2</f>
        <v>0.71499999999999997</v>
      </c>
    </row>
  </sheetData>
  <mergeCells count="34">
    <mergeCell ref="A64:H64"/>
    <mergeCell ref="A1:F2"/>
    <mergeCell ref="A19:F20"/>
    <mergeCell ref="A59:H59"/>
    <mergeCell ref="A60:H60"/>
    <mergeCell ref="A61:H61"/>
    <mergeCell ref="A62:H62"/>
    <mergeCell ref="A63:H63"/>
    <mergeCell ref="A52:H52"/>
    <mergeCell ref="A53:H53"/>
    <mergeCell ref="A54:I54"/>
    <mergeCell ref="A55:I55"/>
    <mergeCell ref="A58:E58"/>
    <mergeCell ref="A42:H42"/>
    <mergeCell ref="A43:H43"/>
    <mergeCell ref="A44:I44"/>
    <mergeCell ref="A45:I45"/>
    <mergeCell ref="A51:E51"/>
    <mergeCell ref="A34:H34"/>
    <mergeCell ref="A35:H35"/>
    <mergeCell ref="A37:I37"/>
    <mergeCell ref="A38:I38"/>
    <mergeCell ref="A41:E41"/>
    <mergeCell ref="A26:E26"/>
    <mergeCell ref="A27:E27"/>
    <mergeCell ref="A29:I29"/>
    <mergeCell ref="A30:I30"/>
    <mergeCell ref="A33:E33"/>
    <mergeCell ref="G33:H33"/>
    <mergeCell ref="A3:F3"/>
    <mergeCell ref="A16:E16"/>
    <mergeCell ref="A17:E17"/>
    <mergeCell ref="A21:F21"/>
    <mergeCell ref="A25:E25"/>
  </mergeCells>
  <pageMargins left="0.75" right="0.75" top="1" bottom="1" header="0.51180555555555496" footer="0.51180555555555496"/>
  <pageSetup paperSize="9" scale="75" firstPageNumber="0" orientation="landscape" useFirstPageNumber="1" horizontalDpi="300" verticalDpi="300" r:id="rId1"/>
  <ignoredErrors>
    <ignoredError sqref="A12 C12:D12 G12:XFD12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7"/>
  <sheetViews>
    <sheetView tabSelected="1" view="pageBreakPreview" topLeftCell="B8" zoomScaleNormal="100" workbookViewId="0">
      <selection activeCell="I35" sqref="I35"/>
    </sheetView>
  </sheetViews>
  <sheetFormatPr defaultColWidth="9" defaultRowHeight="15"/>
  <cols>
    <col min="1" max="1" width="6.140625" style="1" customWidth="1"/>
    <col min="2" max="2" width="68.28515625" style="1" customWidth="1"/>
    <col min="3" max="3" width="11.140625" style="1" customWidth="1"/>
    <col min="4" max="4" width="8.85546875" style="1" customWidth="1"/>
    <col min="5" max="5" width="11.7109375" style="1" customWidth="1"/>
    <col min="6" max="6" width="14.42578125" style="1" customWidth="1"/>
    <col min="7" max="1025" width="14.42578125" customWidth="1"/>
  </cols>
  <sheetData>
    <row r="1" spans="1:7">
      <c r="A1" s="378" t="s">
        <v>662</v>
      </c>
      <c r="B1" s="378"/>
      <c r="C1" s="378"/>
      <c r="D1" s="378"/>
      <c r="E1" s="378"/>
      <c r="F1" s="378"/>
    </row>
    <row r="2" spans="1:7">
      <c r="A2" s="394" t="s">
        <v>663</v>
      </c>
      <c r="B2" s="394"/>
      <c r="C2" s="394"/>
      <c r="D2" s="394"/>
      <c r="E2" s="394"/>
      <c r="F2" s="394"/>
    </row>
    <row r="3" spans="1:7" ht="25.5">
      <c r="A3" s="2" t="s">
        <v>1</v>
      </c>
      <c r="B3" s="2" t="s">
        <v>2</v>
      </c>
      <c r="C3" s="3" t="s">
        <v>515</v>
      </c>
      <c r="D3" s="2" t="s">
        <v>516</v>
      </c>
      <c r="E3" s="4" t="s">
        <v>517</v>
      </c>
      <c r="F3" s="4" t="s">
        <v>518</v>
      </c>
    </row>
    <row r="4" spans="1:7" ht="25.5">
      <c r="A4" s="6">
        <v>1</v>
      </c>
      <c r="B4" s="12" t="s">
        <v>664</v>
      </c>
      <c r="C4" s="6" t="s">
        <v>665</v>
      </c>
      <c r="D4" s="6">
        <v>4</v>
      </c>
      <c r="E4" s="11">
        <v>11.28</v>
      </c>
      <c r="F4" s="21">
        <f>E4*D4</f>
        <v>45.12</v>
      </c>
    </row>
    <row r="5" spans="1:7">
      <c r="A5" s="6">
        <v>2</v>
      </c>
      <c r="B5" s="12" t="s">
        <v>666</v>
      </c>
      <c r="C5" s="6" t="s">
        <v>515</v>
      </c>
      <c r="D5" s="6">
        <v>2</v>
      </c>
      <c r="E5" s="11">
        <v>33.93</v>
      </c>
      <c r="F5" s="21">
        <f>E5*D5</f>
        <v>67.86</v>
      </c>
    </row>
    <row r="6" spans="1:7" ht="25.5">
      <c r="A6" s="6">
        <v>3</v>
      </c>
      <c r="B6" s="22" t="s">
        <v>667</v>
      </c>
      <c r="C6" s="6" t="s">
        <v>515</v>
      </c>
      <c r="D6" s="6">
        <v>4</v>
      </c>
      <c r="E6" s="11">
        <v>69.11</v>
      </c>
      <c r="F6" s="21">
        <f>E6*D6</f>
        <v>276.44</v>
      </c>
    </row>
    <row r="7" spans="1:7" ht="38.25">
      <c r="A7" s="6">
        <v>4</v>
      </c>
      <c r="B7" s="12" t="s">
        <v>668</v>
      </c>
      <c r="C7" s="6" t="s">
        <v>515</v>
      </c>
      <c r="D7" s="6">
        <v>2</v>
      </c>
      <c r="E7" s="11">
        <v>14.47</v>
      </c>
      <c r="F7" s="21">
        <f>E7*D7</f>
        <v>28.94</v>
      </c>
    </row>
    <row r="8" spans="1:7">
      <c r="A8" s="399" t="s">
        <v>389</v>
      </c>
      <c r="B8" s="399"/>
      <c r="C8" s="399"/>
      <c r="D8" s="399"/>
      <c r="E8" s="399"/>
      <c r="F8" s="23">
        <f>SUM(F4:F7)</f>
        <v>418.36</v>
      </c>
    </row>
    <row r="9" spans="1:7">
      <c r="A9" s="399" t="s">
        <v>669</v>
      </c>
      <c r="B9" s="399"/>
      <c r="C9" s="399"/>
      <c r="D9" s="399"/>
      <c r="E9" s="399"/>
      <c r="F9" s="23">
        <f>(F8/12)</f>
        <v>34.863333333333301</v>
      </c>
      <c r="G9" s="24"/>
    </row>
    <row r="10" spans="1:7">
      <c r="A10" s="15"/>
      <c r="B10" s="15"/>
      <c r="C10" s="15"/>
      <c r="D10" s="15"/>
      <c r="E10" s="16"/>
      <c r="F10" s="16">
        <f>34.86/2</f>
        <v>17.43</v>
      </c>
    </row>
    <row r="11" spans="1:7">
      <c r="A11" s="394" t="s">
        <v>670</v>
      </c>
      <c r="B11" s="394"/>
      <c r="C11" s="394"/>
      <c r="D11" s="394"/>
      <c r="E11" s="394"/>
      <c r="F11" s="394"/>
    </row>
    <row r="12" spans="1:7" ht="25.5">
      <c r="A12" s="2" t="s">
        <v>1</v>
      </c>
      <c r="B12" s="2" t="s">
        <v>2</v>
      </c>
      <c r="C12" s="3" t="s">
        <v>515</v>
      </c>
      <c r="D12" s="2" t="s">
        <v>516</v>
      </c>
      <c r="E12" s="4" t="s">
        <v>517</v>
      </c>
      <c r="F12" s="4" t="s">
        <v>518</v>
      </c>
    </row>
    <row r="13" spans="1:7">
      <c r="A13" s="6">
        <v>1</v>
      </c>
      <c r="B13" s="22" t="s">
        <v>671</v>
      </c>
      <c r="C13" s="25" t="s">
        <v>515</v>
      </c>
      <c r="D13" s="26">
        <v>2</v>
      </c>
      <c r="E13" s="10">
        <v>14.47</v>
      </c>
      <c r="F13" s="10">
        <f>E13*D13</f>
        <v>28.94</v>
      </c>
    </row>
    <row r="14" spans="1:7">
      <c r="A14" s="399" t="s">
        <v>389</v>
      </c>
      <c r="B14" s="399"/>
      <c r="C14" s="399"/>
      <c r="D14" s="399"/>
      <c r="E14" s="399"/>
      <c r="F14" s="23">
        <f>SUM(F10:F13)</f>
        <v>46.37</v>
      </c>
      <c r="G14" s="24"/>
    </row>
    <row r="15" spans="1:7">
      <c r="A15" s="27"/>
      <c r="B15" s="28"/>
      <c r="C15" s="28"/>
      <c r="D15" s="28"/>
      <c r="E15" s="28"/>
      <c r="F15" s="29">
        <f>F14/2</f>
        <v>23.184999999999999</v>
      </c>
    </row>
    <row r="16" spans="1:7">
      <c r="A16" s="394" t="s">
        <v>672</v>
      </c>
      <c r="B16" s="394"/>
      <c r="C16" s="394"/>
      <c r="D16" s="394"/>
      <c r="E16" s="394"/>
      <c r="F16" s="394"/>
    </row>
    <row r="17" spans="1:7" ht="25.5">
      <c r="A17" s="30" t="s">
        <v>1</v>
      </c>
      <c r="B17" s="30" t="s">
        <v>2</v>
      </c>
      <c r="C17" s="31" t="s">
        <v>515</v>
      </c>
      <c r="D17" s="30" t="s">
        <v>516</v>
      </c>
      <c r="E17" s="32" t="s">
        <v>517</v>
      </c>
      <c r="F17" s="32" t="s">
        <v>518</v>
      </c>
    </row>
    <row r="18" spans="1:7">
      <c r="A18" s="6">
        <v>1</v>
      </c>
      <c r="B18" s="22" t="s">
        <v>673</v>
      </c>
      <c r="C18" s="25" t="s">
        <v>665</v>
      </c>
      <c r="D18" s="26">
        <v>10</v>
      </c>
      <c r="E18" s="11">
        <v>5.37</v>
      </c>
      <c r="F18" s="21">
        <f>E18*D18</f>
        <v>53.7</v>
      </c>
    </row>
    <row r="19" spans="1:7">
      <c r="A19" s="6">
        <v>2</v>
      </c>
      <c r="B19" s="22" t="s">
        <v>674</v>
      </c>
      <c r="C19" s="25" t="s">
        <v>665</v>
      </c>
      <c r="D19" s="26">
        <v>10</v>
      </c>
      <c r="E19" s="11">
        <v>5.26</v>
      </c>
      <c r="F19" s="21">
        <f>E19*D19</f>
        <v>52.6</v>
      </c>
    </row>
    <row r="20" spans="1:7">
      <c r="A20" s="6">
        <v>3</v>
      </c>
      <c r="B20" s="22" t="s">
        <v>675</v>
      </c>
      <c r="C20" s="25" t="s">
        <v>665</v>
      </c>
      <c r="D20" s="26">
        <v>10</v>
      </c>
      <c r="E20" s="11">
        <v>5.12</v>
      </c>
      <c r="F20" s="21">
        <f>E20*D20</f>
        <v>51.2</v>
      </c>
    </row>
    <row r="21" spans="1:7">
      <c r="A21" s="6">
        <v>4</v>
      </c>
      <c r="B21" s="22" t="s">
        <v>676</v>
      </c>
      <c r="C21" s="25" t="s">
        <v>515</v>
      </c>
      <c r="D21" s="26">
        <v>60</v>
      </c>
      <c r="E21" s="11">
        <v>4.49</v>
      </c>
      <c r="F21" s="21">
        <f>E21*D21</f>
        <v>269.39999999999998</v>
      </c>
    </row>
    <row r="22" spans="1:7">
      <c r="A22" s="400" t="s">
        <v>389</v>
      </c>
      <c r="B22" s="400"/>
      <c r="C22" s="400"/>
      <c r="D22" s="400"/>
      <c r="E22" s="400"/>
      <c r="F22" s="33">
        <f>SUM(F18:F21)</f>
        <v>426.9</v>
      </c>
    </row>
    <row r="23" spans="1:7">
      <c r="A23" s="400" t="s">
        <v>669</v>
      </c>
      <c r="B23" s="400"/>
      <c r="C23" s="400"/>
      <c r="D23" s="400"/>
      <c r="E23" s="400"/>
      <c r="F23" s="33">
        <f>(F22/12)</f>
        <v>35.575000000000003</v>
      </c>
      <c r="G23" s="24"/>
    </row>
    <row r="24" spans="1:7">
      <c r="A24" s="15"/>
      <c r="B24" s="15"/>
      <c r="C24" s="15"/>
      <c r="D24" s="15"/>
      <c r="E24" s="16"/>
      <c r="F24" s="16">
        <f>F23/2</f>
        <v>17.787500000000001</v>
      </c>
    </row>
    <row r="25" spans="1:7">
      <c r="A25" s="394" t="s">
        <v>677</v>
      </c>
      <c r="B25" s="394"/>
      <c r="C25" s="394"/>
      <c r="D25" s="394"/>
      <c r="E25" s="394"/>
      <c r="F25" s="394"/>
    </row>
    <row r="26" spans="1:7" ht="25.5">
      <c r="A26" s="2" t="s">
        <v>1</v>
      </c>
      <c r="B26" s="2" t="s">
        <v>2</v>
      </c>
      <c r="C26" s="3" t="s">
        <v>515</v>
      </c>
      <c r="D26" s="2" t="s">
        <v>516</v>
      </c>
      <c r="E26" s="4" t="s">
        <v>517</v>
      </c>
      <c r="F26" s="4" t="s">
        <v>518</v>
      </c>
    </row>
    <row r="27" spans="1:7">
      <c r="A27" s="6">
        <v>1</v>
      </c>
      <c r="B27" s="12" t="s">
        <v>678</v>
      </c>
      <c r="C27" s="6" t="s">
        <v>515</v>
      </c>
      <c r="D27" s="6">
        <v>3</v>
      </c>
      <c r="E27" s="11">
        <v>43.38</v>
      </c>
      <c r="F27" s="21">
        <f>E27*D27</f>
        <v>130.13999999999999</v>
      </c>
    </row>
    <row r="28" spans="1:7" ht="25.5">
      <c r="A28" s="6">
        <v>2</v>
      </c>
      <c r="B28" s="12" t="s">
        <v>679</v>
      </c>
      <c r="C28" s="6" t="s">
        <v>515</v>
      </c>
      <c r="D28" s="6">
        <v>3</v>
      </c>
      <c r="E28" s="11">
        <v>1335.56</v>
      </c>
      <c r="F28" s="21">
        <f t="shared" ref="F28:F33" si="0">E28*D28</f>
        <v>4006.68</v>
      </c>
    </row>
    <row r="29" spans="1:7" ht="25.5">
      <c r="A29" s="6">
        <v>3</v>
      </c>
      <c r="B29" s="12" t="s">
        <v>680</v>
      </c>
      <c r="C29" s="6" t="s">
        <v>598</v>
      </c>
      <c r="D29" s="6">
        <v>1</v>
      </c>
      <c r="E29" s="11">
        <v>170.84</v>
      </c>
      <c r="F29" s="21">
        <f t="shared" si="0"/>
        <v>170.84</v>
      </c>
    </row>
    <row r="30" spans="1:7" ht="25.5">
      <c r="A30" s="6">
        <v>4</v>
      </c>
      <c r="B30" s="22" t="s">
        <v>681</v>
      </c>
      <c r="C30" s="25" t="s">
        <v>515</v>
      </c>
      <c r="D30" s="6">
        <v>3</v>
      </c>
      <c r="E30" s="11">
        <v>34.409999999999997</v>
      </c>
      <c r="F30" s="21">
        <f t="shared" si="0"/>
        <v>103.23</v>
      </c>
    </row>
    <row r="31" spans="1:7" ht="25.5">
      <c r="A31" s="6">
        <v>5</v>
      </c>
      <c r="B31" s="22" t="s">
        <v>682</v>
      </c>
      <c r="C31" s="25" t="s">
        <v>665</v>
      </c>
      <c r="D31" s="6">
        <v>3</v>
      </c>
      <c r="E31" s="11">
        <v>26.41</v>
      </c>
      <c r="F31" s="21">
        <f t="shared" si="0"/>
        <v>79.23</v>
      </c>
    </row>
    <row r="32" spans="1:7" ht="25.5">
      <c r="A32" s="6">
        <v>6</v>
      </c>
      <c r="B32" s="12" t="s">
        <v>664</v>
      </c>
      <c r="C32" s="6" t="s">
        <v>665</v>
      </c>
      <c r="D32" s="6">
        <v>3</v>
      </c>
      <c r="E32" s="11">
        <v>11.28</v>
      </c>
      <c r="F32" s="21">
        <f t="shared" si="0"/>
        <v>33.840000000000003</v>
      </c>
    </row>
    <row r="33" spans="1:7">
      <c r="A33" s="6">
        <v>7</v>
      </c>
      <c r="B33" s="12" t="s">
        <v>666</v>
      </c>
      <c r="C33" s="6" t="s">
        <v>515</v>
      </c>
      <c r="D33" s="6">
        <v>3</v>
      </c>
      <c r="E33" s="11">
        <v>33.93</v>
      </c>
      <c r="F33" s="21">
        <f t="shared" si="0"/>
        <v>101.79</v>
      </c>
    </row>
    <row r="34" spans="1:7">
      <c r="A34" s="401" t="s">
        <v>389</v>
      </c>
      <c r="B34" s="401"/>
      <c r="C34" s="401"/>
      <c r="D34" s="401"/>
      <c r="E34" s="401"/>
      <c r="F34" s="34">
        <f>SUM(F27:F33)</f>
        <v>4625.75</v>
      </c>
    </row>
    <row r="35" spans="1:7">
      <c r="A35" s="399" t="s">
        <v>669</v>
      </c>
      <c r="B35" s="399"/>
      <c r="C35" s="399"/>
      <c r="D35" s="399"/>
      <c r="E35" s="399"/>
      <c r="F35" s="23">
        <f>ROUND(F34/12,2)</f>
        <v>385.48</v>
      </c>
      <c r="G35" s="35">
        <f>F35/2</f>
        <v>192.74</v>
      </c>
    </row>
    <row r="36" spans="1:7" ht="18" customHeight="1">
      <c r="A36" s="378" t="s">
        <v>617</v>
      </c>
      <c r="B36" s="378"/>
      <c r="C36" s="378"/>
      <c r="D36" s="378"/>
      <c r="E36" s="378"/>
      <c r="F36" s="36">
        <f>F14+F23</f>
        <v>81.944999999999993</v>
      </c>
      <c r="G36" s="35">
        <f>F36/2</f>
        <v>40.972499999999997</v>
      </c>
    </row>
    <row r="37" spans="1:7" ht="18.95" customHeight="1">
      <c r="A37" s="378" t="s">
        <v>618</v>
      </c>
      <c r="B37" s="378"/>
      <c r="C37" s="378"/>
      <c r="D37" s="378"/>
      <c r="E37" s="378"/>
      <c r="F37" s="36">
        <f>F9</f>
        <v>34.863333333333301</v>
      </c>
      <c r="G37" s="35">
        <f>F37/2</f>
        <v>17.4316666666667</v>
      </c>
    </row>
  </sheetData>
  <mergeCells count="14">
    <mergeCell ref="A34:E34"/>
    <mergeCell ref="A35:E35"/>
    <mergeCell ref="A36:E36"/>
    <mergeCell ref="A37:E37"/>
    <mergeCell ref="A14:E14"/>
    <mergeCell ref="A16:F16"/>
    <mergeCell ref="A22:E22"/>
    <mergeCell ref="A23:E23"/>
    <mergeCell ref="A25:F25"/>
    <mergeCell ref="A1:F1"/>
    <mergeCell ref="A2:F2"/>
    <mergeCell ref="A8:E8"/>
    <mergeCell ref="A9:E9"/>
    <mergeCell ref="A11:F11"/>
  </mergeCells>
  <pageMargins left="0.78749999999999998" right="0.78749999999999998" top="1.05277777777778" bottom="1.05277777777778" header="0" footer="0"/>
  <pageSetup paperSize="9" scale="63" firstPageNumber="0" orientation="portrait" useFirstPageNumber="1" horizontalDpi="300" verticalDpi="300" r:id="rId1"/>
  <headerFooter>
    <oddHeader>&amp;C&amp;A</oddHeader>
    <oddFooter>&amp;CPágina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23"/>
  <sheetViews>
    <sheetView view="pageBreakPreview" zoomScaleNormal="100" workbookViewId="0">
      <selection activeCell="G11" sqref="G11"/>
    </sheetView>
  </sheetViews>
  <sheetFormatPr defaultColWidth="9" defaultRowHeight="15"/>
  <cols>
    <col min="1" max="1" width="6" style="1" customWidth="1"/>
    <col min="2" max="2" width="50" style="1" customWidth="1"/>
    <col min="3" max="3" width="10" style="1" customWidth="1"/>
    <col min="4" max="4" width="11.28515625" style="1" customWidth="1"/>
    <col min="5" max="5" width="13.85546875" style="1" customWidth="1"/>
    <col min="6" max="6" width="9.5703125" style="1" customWidth="1"/>
    <col min="7" max="7" width="14" style="1" customWidth="1"/>
    <col min="8" max="27" width="10.42578125" customWidth="1"/>
    <col min="28" max="1025" width="14.42578125" customWidth="1"/>
  </cols>
  <sheetData>
    <row r="1" spans="1:27">
      <c r="A1" s="378" t="s">
        <v>683</v>
      </c>
      <c r="B1" s="378"/>
      <c r="C1" s="378"/>
      <c r="D1" s="378"/>
      <c r="E1" s="378"/>
      <c r="F1" s="378"/>
      <c r="G1" s="378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>
      <c r="A2" s="394" t="s">
        <v>684</v>
      </c>
      <c r="B2" s="394"/>
      <c r="C2" s="394"/>
      <c r="D2" s="394"/>
      <c r="E2" s="394"/>
      <c r="F2" s="394"/>
      <c r="G2" s="394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38.25">
      <c r="A3" s="2" t="s">
        <v>1</v>
      </c>
      <c r="B3" s="2" t="s">
        <v>2</v>
      </c>
      <c r="C3" s="2" t="s">
        <v>515</v>
      </c>
      <c r="D3" s="2" t="s">
        <v>685</v>
      </c>
      <c r="E3" s="3" t="s">
        <v>686</v>
      </c>
      <c r="F3" s="4" t="s">
        <v>517</v>
      </c>
      <c r="G3" s="5" t="s">
        <v>518</v>
      </c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38.25">
      <c r="A4" s="6">
        <v>1</v>
      </c>
      <c r="B4" s="7" t="s">
        <v>687</v>
      </c>
      <c r="C4" s="8" t="s">
        <v>665</v>
      </c>
      <c r="D4" s="8" t="s">
        <v>688</v>
      </c>
      <c r="E4" s="9">
        <v>1</v>
      </c>
      <c r="F4" s="10">
        <v>55.24</v>
      </c>
      <c r="G4" s="11">
        <f t="shared" ref="G4:G9" si="0">F4*E4</f>
        <v>55.24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>
      <c r="A5" s="6">
        <v>2</v>
      </c>
      <c r="B5" s="12" t="s">
        <v>689</v>
      </c>
      <c r="C5" s="13" t="s">
        <v>515</v>
      </c>
      <c r="D5" s="13" t="s">
        <v>688</v>
      </c>
      <c r="E5" s="6">
        <v>4</v>
      </c>
      <c r="F5" s="11">
        <v>64.569999999999993</v>
      </c>
      <c r="G5" s="11">
        <f t="shared" si="0"/>
        <v>258.27999999999997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25.5">
      <c r="A6" s="6">
        <v>3</v>
      </c>
      <c r="B6" s="12" t="s">
        <v>690</v>
      </c>
      <c r="C6" s="13" t="s">
        <v>515</v>
      </c>
      <c r="D6" s="13" t="s">
        <v>688</v>
      </c>
      <c r="E6" s="6">
        <v>4</v>
      </c>
      <c r="F6" s="11">
        <v>30.05</v>
      </c>
      <c r="G6" s="11">
        <f t="shared" si="0"/>
        <v>120.2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26.25" customHeight="1">
      <c r="A7" s="6">
        <v>4</v>
      </c>
      <c r="B7" s="12" t="s">
        <v>691</v>
      </c>
      <c r="C7" s="13" t="s">
        <v>515</v>
      </c>
      <c r="D7" s="13" t="s">
        <v>688</v>
      </c>
      <c r="E7" s="6">
        <v>1</v>
      </c>
      <c r="F7" s="11">
        <v>13.23</v>
      </c>
      <c r="G7" s="11">
        <f t="shared" si="0"/>
        <v>13.23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>
      <c r="A8" s="6">
        <v>5</v>
      </c>
      <c r="B8" s="12" t="s">
        <v>692</v>
      </c>
      <c r="C8" s="13" t="s">
        <v>665</v>
      </c>
      <c r="D8" s="13" t="s">
        <v>688</v>
      </c>
      <c r="E8" s="6">
        <v>10</v>
      </c>
      <c r="F8" s="11">
        <v>15.77</v>
      </c>
      <c r="G8" s="11">
        <f t="shared" si="0"/>
        <v>157.69999999999999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ht="38.25">
      <c r="A9" s="6">
        <v>6</v>
      </c>
      <c r="B9" s="12" t="s">
        <v>693</v>
      </c>
      <c r="C9" s="13" t="s">
        <v>665</v>
      </c>
      <c r="D9" s="13" t="s">
        <v>688</v>
      </c>
      <c r="E9" s="6">
        <v>2</v>
      </c>
      <c r="F9" s="11">
        <v>67.5</v>
      </c>
      <c r="G9" s="11">
        <f t="shared" si="0"/>
        <v>135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>
      <c r="A10" s="399" t="s">
        <v>518</v>
      </c>
      <c r="B10" s="399"/>
      <c r="C10" s="399"/>
      <c r="D10" s="399"/>
      <c r="E10" s="399"/>
      <c r="F10" s="399"/>
      <c r="G10" s="14">
        <f>SUM(G4:G9)</f>
        <v>739.65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>
      <c r="A11" s="399" t="s">
        <v>694</v>
      </c>
      <c r="B11" s="399"/>
      <c r="C11" s="399"/>
      <c r="D11" s="399"/>
      <c r="E11" s="399"/>
      <c r="F11" s="399"/>
      <c r="G11" s="14">
        <f>ROUND(G10/12,2)</f>
        <v>61.64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>
      <c r="A12" s="15"/>
      <c r="B12" s="15"/>
      <c r="C12" s="15"/>
      <c r="D12" s="15"/>
      <c r="E12" s="15"/>
      <c r="F12" s="16"/>
      <c r="G12" s="17">
        <f>61.64/2</f>
        <v>30.82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>
      <c r="A13" s="394" t="s">
        <v>695</v>
      </c>
      <c r="B13" s="394"/>
      <c r="C13" s="394"/>
      <c r="D13" s="394"/>
      <c r="E13" s="394"/>
      <c r="F13" s="394"/>
      <c r="G13" s="394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38.25">
      <c r="A14" s="2" t="s">
        <v>1</v>
      </c>
      <c r="B14" s="2" t="s">
        <v>2</v>
      </c>
      <c r="C14" s="2" t="s">
        <v>515</v>
      </c>
      <c r="D14" s="2" t="s">
        <v>685</v>
      </c>
      <c r="E14" s="3" t="s">
        <v>686</v>
      </c>
      <c r="F14" s="4" t="s">
        <v>517</v>
      </c>
      <c r="G14" s="5" t="s">
        <v>518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>
      <c r="A15" s="6">
        <v>1</v>
      </c>
      <c r="B15" s="12" t="s">
        <v>689</v>
      </c>
      <c r="C15" s="13" t="s">
        <v>515</v>
      </c>
      <c r="D15" s="13" t="s">
        <v>688</v>
      </c>
      <c r="E15" s="6">
        <v>4</v>
      </c>
      <c r="F15" s="11">
        <v>64.569999999999993</v>
      </c>
      <c r="G15" s="11">
        <f t="shared" ref="G15:G20" si="1">F15*E15</f>
        <v>258.27999999999997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29.1" customHeight="1">
      <c r="A16" s="6">
        <v>2</v>
      </c>
      <c r="B16" s="12" t="s">
        <v>691</v>
      </c>
      <c r="C16" s="6" t="s">
        <v>515</v>
      </c>
      <c r="D16" s="6" t="s">
        <v>688</v>
      </c>
      <c r="E16" s="6">
        <v>1</v>
      </c>
      <c r="F16" s="11">
        <v>13.23</v>
      </c>
      <c r="G16" s="11">
        <f t="shared" si="1"/>
        <v>13.23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19.7" customHeight="1">
      <c r="A17" s="6">
        <v>3</v>
      </c>
      <c r="B17" s="18" t="s">
        <v>692</v>
      </c>
      <c r="C17" s="6" t="s">
        <v>665</v>
      </c>
      <c r="D17" s="6" t="s">
        <v>688</v>
      </c>
      <c r="E17" s="6">
        <v>10</v>
      </c>
      <c r="F17" s="11">
        <v>15.77</v>
      </c>
      <c r="G17" s="11">
        <f t="shared" si="1"/>
        <v>157.69999999999999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42" customHeight="1">
      <c r="A18" s="6">
        <v>4</v>
      </c>
      <c r="B18" s="12" t="s">
        <v>693</v>
      </c>
      <c r="C18" s="6" t="s">
        <v>665</v>
      </c>
      <c r="D18" s="6" t="s">
        <v>688</v>
      </c>
      <c r="E18" s="6">
        <v>2</v>
      </c>
      <c r="F18" s="11">
        <v>67.5</v>
      </c>
      <c r="G18" s="11">
        <f t="shared" si="1"/>
        <v>135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ht="25.5">
      <c r="A19" s="6">
        <v>5</v>
      </c>
      <c r="B19" s="12" t="s">
        <v>696</v>
      </c>
      <c r="C19" s="6" t="s">
        <v>515</v>
      </c>
      <c r="D19" s="6" t="s">
        <v>688</v>
      </c>
      <c r="E19" s="6">
        <v>4</v>
      </c>
      <c r="F19" s="11">
        <v>71.34</v>
      </c>
      <c r="G19" s="11">
        <f t="shared" si="1"/>
        <v>285.36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ht="38.25">
      <c r="A20" s="6">
        <v>6</v>
      </c>
      <c r="B20" s="7" t="s">
        <v>697</v>
      </c>
      <c r="C20" s="8" t="s">
        <v>665</v>
      </c>
      <c r="D20" s="8" t="s">
        <v>688</v>
      </c>
      <c r="E20" s="9">
        <v>2</v>
      </c>
      <c r="F20" s="11">
        <v>52.28</v>
      </c>
      <c r="G20" s="11">
        <f t="shared" si="1"/>
        <v>104.56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>
      <c r="A21" s="399" t="s">
        <v>518</v>
      </c>
      <c r="B21" s="399"/>
      <c r="C21" s="399"/>
      <c r="D21" s="399"/>
      <c r="E21" s="399"/>
      <c r="F21" s="399"/>
      <c r="G21" s="14">
        <f>SUM(G15:G20)</f>
        <v>954.13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>
      <c r="A22" s="399" t="s">
        <v>694</v>
      </c>
      <c r="B22" s="399"/>
      <c r="C22" s="399"/>
      <c r="D22" s="399"/>
      <c r="E22" s="399"/>
      <c r="F22" s="399"/>
      <c r="G22" s="14">
        <f>ROUND(G21/12,2)</f>
        <v>79.510000000000005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>
      <c r="G23" s="19">
        <f>G22/2</f>
        <v>39.755000000000003</v>
      </c>
    </row>
  </sheetData>
  <mergeCells count="7">
    <mergeCell ref="A21:F21"/>
    <mergeCell ref="A22:F22"/>
    <mergeCell ref="A1:G1"/>
    <mergeCell ref="A2:G2"/>
    <mergeCell ref="A10:F10"/>
    <mergeCell ref="A11:F11"/>
    <mergeCell ref="A13:G13"/>
  </mergeCells>
  <pageMargins left="0.78749999999999998" right="0.78749999999999998" top="1.05277777777778" bottom="1.05277777777778" header="0" footer="0"/>
  <pageSetup paperSize="9" scale="74" firstPageNumber="0" orientation="portrait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</vt:i4>
      </vt:variant>
    </vt:vector>
  </HeadingPairs>
  <TitlesOfParts>
    <vt:vector size="20" baseType="lpstr">
      <vt:lpstr>QUADRO RESUMO</vt:lpstr>
      <vt:lpstr>PRODUTIVIDADE</vt:lpstr>
      <vt:lpstr>ENCARREGADO</vt:lpstr>
      <vt:lpstr>OPERADOR DE ROÇADEIRA</vt:lpstr>
      <vt:lpstr>SERV. INTERNO - PISOS </vt:lpstr>
      <vt:lpstr>SERV. INTERNO LABORATORIOS 20%</vt:lpstr>
      <vt:lpstr>SERV. INTERNO - ALMOXARIFADO</vt:lpstr>
      <vt:lpstr>SERV. INTERNO ALMOXARIFADO 20%</vt:lpstr>
      <vt:lpstr>SERV. INTERNO - SAGUÃO, HALL</vt:lpstr>
      <vt:lpstr>SERV. INTERNO BANHEIROS 40%</vt:lpstr>
      <vt:lpstr>SERV. EXTERNO - PISOS</vt:lpstr>
      <vt:lpstr>SERV. EXTERNO - VARRIÇÃO</vt:lpstr>
      <vt:lpstr>SERV. EXTERNO PÁTIOS ALTA FREQ.</vt:lpstr>
      <vt:lpstr>SERV. EXTERNO PÁTIOS BAIXA FREQ</vt:lpstr>
      <vt:lpstr>SERV. EXTERNO COLETA</vt:lpstr>
      <vt:lpstr>MATERIAIS</vt:lpstr>
      <vt:lpstr>FERRAMENTAS E EQUIPAMENTOS</vt:lpstr>
      <vt:lpstr>EPIS</vt:lpstr>
      <vt:lpstr>UNIFORMES</vt:lpstr>
      <vt:lpstr>'QUADRO RESUMO'!Area_de_impressao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 Renato Pires</dc:creator>
  <cp:lastModifiedBy>Jéssica</cp:lastModifiedBy>
  <cp:revision>18</cp:revision>
  <cp:lastPrinted>2025-01-29T18:03:00Z</cp:lastPrinted>
  <dcterms:created xsi:type="dcterms:W3CDTF">2023-05-30T10:38:00Z</dcterms:created>
  <dcterms:modified xsi:type="dcterms:W3CDTF">2025-09-08T13:57:20Z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5F54F29D14554B8CB9D49F216F30B3E7_13</vt:lpwstr>
  </property>
  <property fmtid="{D5CDD505-2E9C-101B-9397-08002B2CF9AE}" pid="6" name="KSOProductBuildVer">
    <vt:lpwstr>1046-12.2.0.21931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